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7100" windowHeight="9090" tabRatio="1000"/>
  </bookViews>
  <sheets>
    <sheet name="прил.4. 2013 (1 кв)" sheetId="13" r:id="rId1"/>
    <sheet name="показатели 2013-2015" sheetId="12" r:id="rId2"/>
    <sheet name="прил.4. 2012 (4 кв)" sheetId="11" r:id="rId3"/>
    <sheet name="прил.5. 2012 (4 кв)" sheetId="10" r:id="rId4"/>
    <sheet name="показатели 1 кв. 2012" sheetId="5" r:id="rId5"/>
  </sheets>
  <definedNames>
    <definedName name="_xlnm.Print_Titles" localSheetId="3">'прил.5. 2012 (4 кв)'!$7:$9</definedName>
  </definedNames>
  <calcPr calcId="145621"/>
</workbook>
</file>

<file path=xl/calcChain.xml><?xml version="1.0" encoding="utf-8"?>
<calcChain xmlns="http://schemas.openxmlformats.org/spreadsheetml/2006/main">
  <c r="F28" i="12" l="1"/>
  <c r="G28" i="12"/>
  <c r="E28" i="12"/>
  <c r="F26" i="13" l="1"/>
  <c r="G26" i="13"/>
  <c r="G18" i="13"/>
  <c r="E13" i="13"/>
  <c r="E8" i="13" s="1"/>
  <c r="E28" i="13" s="1"/>
  <c r="D13" i="13"/>
  <c r="D8" i="13" s="1"/>
  <c r="D28" i="13" s="1"/>
  <c r="F18" i="13"/>
  <c r="G27" i="13"/>
  <c r="F27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7" i="13"/>
  <c r="F17" i="13"/>
  <c r="G16" i="13"/>
  <c r="F16" i="13"/>
  <c r="G15" i="13"/>
  <c r="F15" i="13"/>
  <c r="G14" i="13"/>
  <c r="F14" i="13"/>
  <c r="G12" i="13"/>
  <c r="F12" i="13"/>
  <c r="G11" i="13"/>
  <c r="F11" i="13"/>
  <c r="G10" i="13"/>
  <c r="F10" i="13"/>
  <c r="G9" i="13"/>
  <c r="F9" i="13"/>
  <c r="S33" i="12"/>
  <c r="E33" i="12"/>
  <c r="R32" i="12"/>
  <c r="E32" i="12"/>
  <c r="S31" i="12"/>
  <c r="F31" i="12" s="1"/>
  <c r="R31" i="12"/>
  <c r="E31" i="12"/>
  <c r="U30" i="12"/>
  <c r="U29" i="12"/>
  <c r="G29" i="12"/>
  <c r="F29" i="12"/>
  <c r="E29" i="12"/>
  <c r="U28" i="12"/>
  <c r="U27" i="12"/>
  <c r="G27" i="12"/>
  <c r="F27" i="12"/>
  <c r="E27" i="12"/>
  <c r="U26" i="12"/>
  <c r="G26" i="12"/>
  <c r="F26" i="12"/>
  <c r="E26" i="12"/>
  <c r="U25" i="12"/>
  <c r="G25" i="12"/>
  <c r="F25" i="12"/>
  <c r="E25" i="12"/>
  <c r="U24" i="12"/>
  <c r="G24" i="12"/>
  <c r="F24" i="12"/>
  <c r="E24" i="12"/>
  <c r="U23" i="12"/>
  <c r="G23" i="12"/>
  <c r="F23" i="12"/>
  <c r="E23" i="12"/>
  <c r="X22" i="12"/>
  <c r="W22" i="12"/>
  <c r="V22" i="12"/>
  <c r="U22" i="12"/>
  <c r="G22" i="12"/>
  <c r="F22" i="12"/>
  <c r="E22" i="12"/>
  <c r="U21" i="12"/>
  <c r="G21" i="12"/>
  <c r="F21" i="12"/>
  <c r="E21" i="12"/>
  <c r="U20" i="12"/>
  <c r="R20" i="12"/>
  <c r="G20" i="12"/>
  <c r="F20" i="12"/>
  <c r="E20" i="12"/>
  <c r="U19" i="12"/>
  <c r="G19" i="12"/>
  <c r="F19" i="12"/>
  <c r="E19" i="12"/>
  <c r="U18" i="12"/>
  <c r="G18" i="12"/>
  <c r="F18" i="12"/>
  <c r="E18" i="12"/>
  <c r="U17" i="12"/>
  <c r="G17" i="12"/>
  <c r="F17" i="12"/>
  <c r="E17" i="12"/>
  <c r="U16" i="12"/>
  <c r="G16" i="12"/>
  <c r="F16" i="12"/>
  <c r="E16" i="12"/>
  <c r="T15" i="12"/>
  <c r="S15" i="12"/>
  <c r="R15" i="12"/>
  <c r="U15" i="12" s="1"/>
  <c r="U14" i="12"/>
  <c r="G14" i="12"/>
  <c r="F14" i="12"/>
  <c r="E14" i="12"/>
  <c r="U13" i="12"/>
  <c r="G13" i="12"/>
  <c r="F13" i="12"/>
  <c r="E13" i="12"/>
  <c r="U12" i="12"/>
  <c r="G12" i="12"/>
  <c r="F12" i="12"/>
  <c r="E12" i="12"/>
  <c r="U11" i="12"/>
  <c r="G11" i="12"/>
  <c r="F11" i="12"/>
  <c r="E11" i="12"/>
  <c r="U10" i="12"/>
  <c r="G10" i="12"/>
  <c r="F10" i="12"/>
  <c r="E10" i="12"/>
  <c r="U9" i="12"/>
  <c r="G9" i="12"/>
  <c r="F9" i="12"/>
  <c r="E9" i="12"/>
  <c r="U8" i="12"/>
  <c r="G8" i="12"/>
  <c r="F8" i="12"/>
  <c r="E8" i="12"/>
  <c r="U7" i="12"/>
  <c r="G7" i="12"/>
  <c r="F7" i="12"/>
  <c r="E7" i="12"/>
  <c r="T6" i="12"/>
  <c r="T34" i="12" s="1"/>
  <c r="S6" i="12"/>
  <c r="S34" i="12" s="1"/>
  <c r="R6" i="12"/>
  <c r="U6" i="12" s="1"/>
  <c r="F13" i="13" l="1"/>
  <c r="G13" i="13"/>
  <c r="G28" i="13"/>
  <c r="F28" i="13"/>
  <c r="F8" i="13"/>
  <c r="U33" i="12"/>
  <c r="R34" i="12"/>
  <c r="U34" i="12" s="1"/>
  <c r="T33" i="12"/>
  <c r="S32" i="12"/>
  <c r="F33" i="12"/>
  <c r="F32" i="12" l="1"/>
  <c r="T31" i="12"/>
  <c r="G33" i="12"/>
  <c r="T32" i="12"/>
  <c r="G32" i="12" s="1"/>
  <c r="G31" i="12" l="1"/>
  <c r="U31" i="12"/>
  <c r="U32" i="12"/>
  <c r="J22" i="10" l="1"/>
  <c r="H22" i="10" s="1"/>
  <c r="G22" i="10" s="1"/>
  <c r="P30" i="10"/>
  <c r="H30" i="10" s="1"/>
  <c r="O30" i="10"/>
  <c r="P29" i="10"/>
  <c r="O29" i="10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D13" i="11"/>
  <c r="D8" i="11" s="1"/>
  <c r="D27" i="11" s="1"/>
  <c r="G12" i="11"/>
  <c r="F12" i="11"/>
  <c r="G11" i="11"/>
  <c r="F11" i="11"/>
  <c r="G10" i="11"/>
  <c r="F10" i="11"/>
  <c r="G9" i="11"/>
  <c r="F9" i="11"/>
  <c r="H31" i="10"/>
  <c r="G31" i="10" s="1"/>
  <c r="F31" i="10"/>
  <c r="E31" i="10"/>
  <c r="H28" i="10"/>
  <c r="G28" i="10" s="1"/>
  <c r="F28" i="10"/>
  <c r="E28" i="10"/>
  <c r="H27" i="10"/>
  <c r="I27" i="10" s="1"/>
  <c r="F27" i="10"/>
  <c r="E27" i="10" s="1"/>
  <c r="H26" i="10"/>
  <c r="I26" i="10" s="1"/>
  <c r="G26" i="10"/>
  <c r="F26" i="10"/>
  <c r="E26" i="10"/>
  <c r="H25" i="10"/>
  <c r="G25" i="10" s="1"/>
  <c r="F25" i="10"/>
  <c r="E25" i="10" s="1"/>
  <c r="S24" i="10"/>
  <c r="H24" i="10"/>
  <c r="I24" i="10" s="1"/>
  <c r="F24" i="10"/>
  <c r="E24" i="10" s="1"/>
  <c r="H23" i="10"/>
  <c r="G23" i="10" s="1"/>
  <c r="F23" i="10"/>
  <c r="E23" i="10"/>
  <c r="F22" i="10"/>
  <c r="E22" i="10" s="1"/>
  <c r="I21" i="10"/>
  <c r="H21" i="10"/>
  <c r="G21" i="10" s="1"/>
  <c r="F21" i="10"/>
  <c r="E21" i="10"/>
  <c r="M20" i="10"/>
  <c r="H20" i="10"/>
  <c r="G20" i="10" s="1"/>
  <c r="F20" i="10"/>
  <c r="E20" i="10" s="1"/>
  <c r="M19" i="10"/>
  <c r="H19" i="10" s="1"/>
  <c r="H18" i="10"/>
  <c r="G18" i="10" s="1"/>
  <c r="F18" i="10"/>
  <c r="E18" i="10" s="1"/>
  <c r="M17" i="10"/>
  <c r="H17" i="10"/>
  <c r="G17" i="10" s="1"/>
  <c r="F17" i="10"/>
  <c r="E17" i="10"/>
  <c r="I16" i="10"/>
  <c r="H16" i="10"/>
  <c r="G16" i="10"/>
  <c r="F16" i="10"/>
  <c r="E16" i="10"/>
  <c r="H15" i="10"/>
  <c r="I15" i="10" s="1"/>
  <c r="G15" i="10"/>
  <c r="F15" i="10"/>
  <c r="E15" i="10" s="1"/>
  <c r="H14" i="10"/>
  <c r="I14" i="10" s="1"/>
  <c r="G14" i="10"/>
  <c r="F14" i="10"/>
  <c r="E14" i="10"/>
  <c r="M13" i="10"/>
  <c r="H13" i="10" s="1"/>
  <c r="H12" i="10"/>
  <c r="I12" i="10" s="1"/>
  <c r="G12" i="10"/>
  <c r="F12" i="10"/>
  <c r="E12" i="10" s="1"/>
  <c r="H11" i="10"/>
  <c r="I11" i="10" s="1"/>
  <c r="G11" i="10"/>
  <c r="F11" i="10"/>
  <c r="E11" i="10"/>
  <c r="H10" i="10"/>
  <c r="I10" i="10" s="1"/>
  <c r="G10" i="10"/>
  <c r="F10" i="10"/>
  <c r="E10" i="10"/>
  <c r="H29" i="10" l="1"/>
  <c r="G29" i="10" s="1"/>
  <c r="F30" i="10"/>
  <c r="E30" i="10" s="1"/>
  <c r="F29" i="10"/>
  <c r="E29" i="10" s="1"/>
  <c r="I28" i="10"/>
  <c r="G27" i="10"/>
  <c r="G24" i="10"/>
  <c r="I23" i="10"/>
  <c r="I20" i="10"/>
  <c r="I18" i="10"/>
  <c r="E13" i="11"/>
  <c r="F20" i="11"/>
  <c r="G30" i="10"/>
  <c r="G13" i="10"/>
  <c r="G19" i="10"/>
  <c r="F13" i="10"/>
  <c r="E13" i="10" s="1"/>
  <c r="I17" i="10"/>
  <c r="F19" i="10"/>
  <c r="E19" i="10" s="1"/>
  <c r="I25" i="10"/>
  <c r="I22" i="10"/>
  <c r="I31" i="10"/>
  <c r="I30" i="10" l="1"/>
  <c r="I29" i="10"/>
  <c r="F13" i="11"/>
  <c r="E8" i="11"/>
  <c r="G13" i="11"/>
  <c r="I19" i="10"/>
  <c r="I13" i="10"/>
  <c r="E27" i="11" l="1"/>
  <c r="F8" i="11"/>
  <c r="G27" i="11" l="1"/>
  <c r="F27" i="11"/>
  <c r="T32" i="5" l="1"/>
  <c r="T31" i="5"/>
  <c r="U33" i="5" l="1"/>
  <c r="G33" i="5"/>
  <c r="F33" i="5"/>
  <c r="E33" i="5"/>
  <c r="S32" i="5"/>
  <c r="F32" i="5" s="1"/>
  <c r="R32" i="5"/>
  <c r="U32" i="5" s="1"/>
  <c r="G32" i="5"/>
  <c r="E32" i="5"/>
  <c r="U31" i="5"/>
  <c r="S31" i="5"/>
  <c r="R31" i="5"/>
  <c r="G31" i="5"/>
  <c r="F31" i="5"/>
  <c r="E31" i="5"/>
  <c r="S30" i="5"/>
  <c r="R30" i="5"/>
  <c r="U30" i="5" s="1"/>
  <c r="S28" i="5"/>
  <c r="S27" i="5"/>
  <c r="U27" i="5" s="1"/>
  <c r="U26" i="5"/>
  <c r="G26" i="5"/>
  <c r="F26" i="5"/>
  <c r="E26" i="5"/>
  <c r="U25" i="5"/>
  <c r="S25" i="5"/>
  <c r="G25" i="5"/>
  <c r="F25" i="5"/>
  <c r="E25" i="5"/>
  <c r="U24" i="5"/>
  <c r="G24" i="5"/>
  <c r="F24" i="5"/>
  <c r="E24" i="5"/>
  <c r="U23" i="5"/>
  <c r="G23" i="5"/>
  <c r="F23" i="5"/>
  <c r="U22" i="5"/>
  <c r="G22" i="5"/>
  <c r="F22" i="5"/>
  <c r="E22" i="5"/>
  <c r="U21" i="5"/>
  <c r="S21" i="5"/>
  <c r="G21" i="5"/>
  <c r="F21" i="5"/>
  <c r="E21" i="5"/>
  <c r="U20" i="5"/>
  <c r="S20" i="5"/>
  <c r="P20" i="5"/>
  <c r="F20" i="5" s="1"/>
  <c r="G20" i="5"/>
  <c r="E20" i="5"/>
  <c r="S19" i="5"/>
  <c r="F19" i="5" s="1"/>
  <c r="G19" i="5"/>
  <c r="E19" i="5"/>
  <c r="U18" i="5"/>
  <c r="S18" i="5"/>
  <c r="M18" i="5"/>
  <c r="G18" i="5"/>
  <c r="F18" i="5"/>
  <c r="E18" i="5"/>
  <c r="S17" i="5"/>
  <c r="U17" i="5" s="1"/>
  <c r="G17" i="5"/>
  <c r="E17" i="5"/>
  <c r="U16" i="5"/>
  <c r="G16" i="5"/>
  <c r="F16" i="5"/>
  <c r="E16" i="5"/>
  <c r="T15" i="5"/>
  <c r="T6" i="5" s="1"/>
  <c r="T34" i="5" s="1"/>
  <c r="R15" i="5"/>
  <c r="U14" i="5"/>
  <c r="G14" i="5"/>
  <c r="F14" i="5"/>
  <c r="E14" i="5"/>
  <c r="U13" i="5"/>
  <c r="G13" i="5"/>
  <c r="F13" i="5"/>
  <c r="E13" i="5"/>
  <c r="U12" i="5"/>
  <c r="G12" i="5"/>
  <c r="F12" i="5"/>
  <c r="E12" i="5"/>
  <c r="U11" i="5"/>
  <c r="G11" i="5"/>
  <c r="F11" i="5"/>
  <c r="E11" i="5"/>
  <c r="S10" i="5"/>
  <c r="U10" i="5" s="1"/>
  <c r="M10" i="5"/>
  <c r="G10" i="5"/>
  <c r="F10" i="5"/>
  <c r="E10" i="5"/>
  <c r="U9" i="5"/>
  <c r="G9" i="5"/>
  <c r="F9" i="5"/>
  <c r="E9" i="5"/>
  <c r="U8" i="5"/>
  <c r="G8" i="5"/>
  <c r="F8" i="5"/>
  <c r="E8" i="5"/>
  <c r="U7" i="5"/>
  <c r="S7" i="5"/>
  <c r="G7" i="5"/>
  <c r="F7" i="5"/>
  <c r="E7" i="5"/>
  <c r="R6" i="5"/>
  <c r="S15" i="5" l="1"/>
  <c r="F17" i="5"/>
  <c r="R34" i="5"/>
  <c r="U19" i="5"/>
  <c r="S6" i="5" l="1"/>
  <c r="U15" i="5"/>
  <c r="S34" i="5" l="1"/>
  <c r="U34" i="5" s="1"/>
  <c r="U6" i="5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весь комплекс!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факт за 12 месяцев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год</t>
        </r>
      </text>
    </comment>
  </commentList>
</comments>
</file>

<file path=xl/sharedStrings.xml><?xml version="1.0" encoding="utf-8"?>
<sst xmlns="http://schemas.openxmlformats.org/spreadsheetml/2006/main" count="488" uniqueCount="196">
  <si>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</si>
  <si>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</si>
  <si>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</si>
  <si>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</si>
  <si>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</si>
  <si>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</si>
  <si>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</si>
  <si>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</si>
  <si>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</si>
  <si>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</si>
  <si>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</si>
  <si>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</si>
  <si>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</si>
  <si>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</si>
  <si>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</si>
  <si>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</si>
  <si>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</si>
  <si>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</si>
  <si>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</si>
  <si>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</si>
  <si>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</si>
  <si>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</si>
  <si>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</si>
  <si>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</si>
  <si>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</si>
  <si>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</si>
  <si>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</si>
  <si>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</si>
  <si>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</si>
  <si>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</si>
  <si>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</si>
  <si>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</si>
  <si>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</si>
  <si>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</si>
  <si>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</si>
  <si>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</si>
  <si>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</si>
  <si>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</si>
  <si>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</si>
  <si>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</si>
  <si>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</si>
  <si>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</si>
  <si>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</si>
  <si>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</si>
  <si>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</si>
  <si>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</si>
  <si>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</si>
  <si>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</si>
  <si>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</si>
  <si>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</si>
  <si>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</si>
  <si>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</si>
  <si>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</si>
  <si>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</si>
  <si>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t>2011 год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</si>
  <si>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</si>
  <si>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</si>
  <si>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</si>
  <si>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</si>
  <si>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</si>
  <si>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</si>
  <si>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</si>
  <si>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</si>
  <si>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</si>
  <si>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</si>
  <si>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</si>
  <si>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</si>
  <si>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</si>
  <si>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</si>
  <si>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>9=8/6</t>
  </si>
  <si>
    <t xml:space="preserve">Затраты на обслуживание 1 км сетей уличного освещения </t>
  </si>
  <si>
    <t>тыс. руб. на 1 км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</si>
  <si>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</si>
  <si>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</si>
  <si>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</si>
  <si>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</si>
  <si>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</si>
  <si>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</si>
  <si>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</si>
  <si>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</si>
  <si>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</si>
  <si>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</si>
  <si>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</si>
  <si>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</si>
  <si>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</si>
  <si>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</si>
  <si>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</si>
  <si>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</si>
  <si>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</si>
  <si>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</si>
  <si>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</si>
  <si>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</si>
  <si>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</si>
  <si>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</si>
  <si>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</si>
  <si>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</si>
  <si>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</si>
  <si>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</si>
  <si>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</si>
  <si>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</si>
  <si>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</si>
  <si>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начало программы</t>
  </si>
  <si>
    <t>конечный результат</t>
  </si>
  <si>
    <t>отчетный год план</t>
  </si>
  <si>
    <t>ср.-арифметич.</t>
  </si>
  <si>
    <t>Заместитель главы администрации города -</t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</si>
  <si>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</si>
  <si>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</si>
  <si>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</si>
  <si>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</si>
  <si>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</si>
  <si>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</si>
  <si>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</si>
  <si>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</si>
  <si>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</si>
  <si>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</si>
  <si>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2010 год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</si>
  <si>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</si>
  <si>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</si>
  <si>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</si>
  <si>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</si>
  <si>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</si>
  <si>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</si>
  <si>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</si>
  <si>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</si>
  <si>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</si>
  <si>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</si>
  <si>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</si>
  <si>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</si>
  <si>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</si>
  <si>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</si>
  <si>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</si>
  <si>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</si>
  <si>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</si>
  <si>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</si>
  <si>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</si>
  <si>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</si>
  <si>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</si>
  <si>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</si>
  <si>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Содержание и ремонт детских игровых городков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</si>
  <si>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</si>
  <si>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</si>
  <si>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</si>
  <si>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</si>
  <si>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</si>
  <si>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</si>
  <si>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</si>
  <si>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</si>
  <si>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</si>
  <si>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</si>
  <si>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</si>
  <si>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затраты на содержание 1 кв. м конт. площадки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</si>
  <si>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</si>
  <si>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</si>
  <si>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</si>
  <si>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</si>
  <si>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</si>
  <si>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Прочие расходы по благоустройству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</si>
  <si>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</si>
  <si>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</si>
  <si>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</si>
  <si>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</si>
  <si>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</si>
  <si>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</si>
  <si>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</si>
  <si>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по состоянию на 31 марта 2012г.</t>
  </si>
  <si>
    <t>(717) на 2012 год</t>
  </si>
  <si>
    <t>в год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</si>
  <si>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</si>
  <si>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</si>
  <si>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 xml:space="preserve">(факт 2010 года+факт 2011 года+факт 2012)/3 года </t>
  </si>
  <si>
    <t>факт 2012 года</t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</si>
  <si>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</si>
  <si>
    <t>9 мес.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</si>
  <si>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</si>
  <si>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r>
      <t xml:space="preserve">12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</si>
  <si>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весь комплекс!</t>
  </si>
  <si>
    <t>объемы поправлены 19.04.2012 !!!</t>
  </si>
  <si>
    <t>отчёт 1-КХ</t>
  </si>
  <si>
    <t>по контрактам!</t>
  </si>
  <si>
    <t>2013 год</t>
  </si>
  <si>
    <t>2014 год</t>
  </si>
  <si>
    <t>2015 год</t>
  </si>
  <si>
    <t>прогноз - Пивоварчик Л.Г. по тел.  15.10.2012</t>
  </si>
  <si>
    <t>Содержание и ремонт детских и спортивных площадок</t>
  </si>
  <si>
    <t>Затраты на снос 1 кв. м общей площади ветхого строения</t>
  </si>
  <si>
    <t>Общая площадь снесённого ветхого жилья</t>
  </si>
  <si>
    <r>
      <t xml:space="preserve">Содержание скульптурно-декоративных композиций </t>
    </r>
    <r>
      <rPr>
        <sz val="9"/>
        <rFont val="Times New Roman"/>
        <family val="1"/>
        <charset val="204"/>
      </rPr>
      <t>"Вертолет", "Паровоз", "Машина"</t>
    </r>
  </si>
  <si>
    <t>Затраты на обслуживание 1 кв.м площади с-д к</t>
  </si>
  <si>
    <t>Обслуживаемая площадь скульптурно-декоративных композиций</t>
  </si>
  <si>
    <t xml:space="preserve">за 1 квартал 2013 года </t>
  </si>
  <si>
    <t xml:space="preserve">за 4 квартал 2012 года </t>
  </si>
  <si>
    <t>Информация по объему финансирования мероприятий ведомственной целевой программы "Содержание и текущий ремонт объектов благоустройства, городских дорог в  городе Югорске на 2013-2015 годы"</t>
  </si>
  <si>
    <t>6.13</t>
  </si>
  <si>
    <t>Содержание скульптурно-декоративных композиций</t>
  </si>
  <si>
    <t>(руководитель субъекта бюджетного планирования)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</si>
</sst>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67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sz val="9"/>
      <color indexed="17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rgb="FF0099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33CC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800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8"/>
      <color rgb="FFFF00FF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9"/>
      <color rgb="FF7030A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rgb="FFFF00FF"/>
      <name val="Times New Roman"/>
      <family val="1"/>
      <charset val="204"/>
    </font>
    <font>
      <b/>
      <sz val="11"/>
      <color rgb="FF80008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1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7" fillId="0" borderId="0" xfId="1" applyNumberFormat="1" applyFont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5" fillId="2" borderId="5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3" fontId="25" fillId="2" borderId="5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17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25" fillId="0" borderId="5" xfId="0" applyNumberFormat="1" applyFont="1" applyFill="1" applyBorder="1" applyAlignment="1" applyProtection="1">
      <alignment horizontal="center" vertical="center" wrapText="1"/>
    </xf>
    <xf numFmtId="4" fontId="10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165" fontId="34" fillId="0" borderId="25" xfId="0" applyNumberFormat="1" applyFont="1" applyBorder="1" applyAlignment="1">
      <alignment vertical="center" wrapText="1"/>
    </xf>
    <xf numFmtId="165" fontId="26" fillId="0" borderId="5" xfId="0" applyNumberFormat="1" applyFont="1" applyBorder="1" applyAlignment="1">
      <alignment vertical="center" wrapText="1"/>
    </xf>
    <xf numFmtId="165" fontId="31" fillId="0" borderId="14" xfId="0" applyNumberFormat="1" applyFont="1" applyBorder="1" applyAlignment="1">
      <alignment vertical="center" wrapText="1"/>
    </xf>
    <xf numFmtId="165" fontId="10" fillId="0" borderId="25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21" fillId="0" borderId="5" xfId="0" applyNumberFormat="1" applyFont="1" applyFill="1" applyBorder="1" applyAlignment="1" applyProtection="1">
      <alignment horizontal="center" vertical="center" wrapText="1"/>
    </xf>
    <xf numFmtId="3" fontId="34" fillId="0" borderId="4" xfId="0" applyNumberFormat="1" applyFont="1" applyBorder="1" applyAlignment="1">
      <alignment vertical="center" wrapText="1"/>
    </xf>
    <xf numFmtId="3" fontId="26" fillId="0" borderId="5" xfId="0" applyNumberFormat="1" applyFont="1" applyBorder="1" applyAlignment="1">
      <alignment vertical="center" wrapText="1"/>
    </xf>
    <xf numFmtId="165" fontId="34" fillId="2" borderId="25" xfId="0" applyNumberFormat="1" applyFont="1" applyFill="1" applyBorder="1" applyAlignment="1">
      <alignment vertical="center" wrapText="1"/>
    </xf>
    <xf numFmtId="165" fontId="35" fillId="2" borderId="5" xfId="0" applyNumberFormat="1" applyFont="1" applyFill="1" applyBorder="1" applyAlignment="1">
      <alignment vertical="center" wrapText="1"/>
    </xf>
    <xf numFmtId="165" fontId="31" fillId="2" borderId="14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34" fillId="2" borderId="25" xfId="0" applyNumberFormat="1" applyFont="1" applyFill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31" fillId="0" borderId="0" xfId="0" applyNumberFormat="1" applyFont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vertical="center" wrapText="1"/>
    </xf>
    <xf numFmtId="3" fontId="36" fillId="0" borderId="14" xfId="0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vertical="center" wrapText="1"/>
    </xf>
    <xf numFmtId="4" fontId="37" fillId="0" borderId="5" xfId="0" applyNumberFormat="1" applyFont="1" applyFill="1" applyBorder="1" applyAlignment="1" applyProtection="1">
      <alignment horizontal="center" vertical="center" wrapText="1"/>
    </xf>
    <xf numFmtId="166" fontId="26" fillId="0" borderId="5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26" fillId="0" borderId="5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3" fontId="34" fillId="0" borderId="4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38" fillId="0" borderId="13" xfId="0" applyNumberFormat="1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right" vertical="center" wrapText="1"/>
    </xf>
    <xf numFmtId="4" fontId="25" fillId="0" borderId="5" xfId="0" applyNumberFormat="1" applyFont="1" applyFill="1" applyBorder="1" applyAlignment="1" applyProtection="1">
      <alignment horizontal="right" vertical="center" wrapText="1"/>
    </xf>
    <xf numFmtId="4" fontId="10" fillId="0" borderId="6" xfId="0" applyNumberFormat="1" applyFont="1" applyFill="1" applyBorder="1" applyAlignment="1" applyProtection="1">
      <alignment horizontal="right" vertical="center" wrapText="1"/>
    </xf>
    <xf numFmtId="3" fontId="34" fillId="0" borderId="4" xfId="0" applyNumberFormat="1" applyFont="1" applyFill="1" applyBorder="1" applyAlignment="1" applyProtection="1">
      <alignment horizontal="right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3" fontId="21" fillId="0" borderId="5" xfId="0" applyNumberFormat="1" applyFont="1" applyFill="1" applyBorder="1" applyAlignment="1" applyProtection="1">
      <alignment horizontal="right" vertical="center" wrapText="1"/>
    </xf>
    <xf numFmtId="3" fontId="39" fillId="2" borderId="25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4" fontId="37" fillId="0" borderId="5" xfId="0" applyNumberFormat="1" applyFont="1" applyFill="1" applyBorder="1" applyAlignment="1" applyProtection="1">
      <alignment horizontal="right" vertical="center" wrapText="1"/>
    </xf>
    <xf numFmtId="166" fontId="26" fillId="0" borderId="5" xfId="0" applyNumberFormat="1" applyFont="1" applyFill="1" applyBorder="1" applyAlignment="1" applyProtection="1">
      <alignment horizontal="right" vertical="center" wrapText="1"/>
    </xf>
    <xf numFmtId="0" fontId="40" fillId="0" borderId="4" xfId="0" applyNumberFormat="1" applyFont="1" applyFill="1" applyBorder="1" applyAlignment="1" applyProtection="1">
      <alignment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27" fillId="2" borderId="25" xfId="0" applyNumberFormat="1" applyFont="1" applyFill="1" applyBorder="1" applyAlignment="1">
      <alignment vertical="center" wrapText="1"/>
    </xf>
    <xf numFmtId="3" fontId="34" fillId="0" borderId="4" xfId="0" applyNumberFormat="1" applyFont="1" applyBorder="1" applyAlignment="1">
      <alignment horizontal="right" vertical="center" wrapText="1"/>
    </xf>
    <xf numFmtId="166" fontId="26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165" fontId="10" fillId="2" borderId="14" xfId="0" applyNumberFormat="1" applyFont="1" applyFill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3" fontId="25" fillId="2" borderId="5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19" fillId="0" borderId="5" xfId="0" applyFont="1" applyBorder="1" applyAlignment="1">
      <alignment vertical="center" wrapText="1"/>
    </xf>
    <xf numFmtId="4" fontId="44" fillId="0" borderId="5" xfId="0" applyNumberFormat="1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3" fontId="45" fillId="0" borderId="5" xfId="0" applyNumberFormat="1" applyFont="1" applyBorder="1" applyAlignment="1">
      <alignment horizontal="center" vertical="center" wrapText="1"/>
    </xf>
    <xf numFmtId="0" fontId="2" fillId="3" borderId="27" xfId="0" applyFont="1" applyFill="1" applyBorder="1"/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4" fontId="51" fillId="0" borderId="5" xfId="0" applyNumberFormat="1" applyFont="1" applyBorder="1" applyAlignment="1">
      <alignment horizontal="center" vertical="center" wrapText="1"/>
    </xf>
    <xf numFmtId="4" fontId="51" fillId="0" borderId="5" xfId="0" applyNumberFormat="1" applyFont="1" applyBorder="1" applyAlignment="1">
      <alignment horizontal="center"/>
    </xf>
    <xf numFmtId="0" fontId="52" fillId="0" borderId="0" xfId="0" applyFont="1" applyAlignment="1">
      <alignment vertical="center"/>
    </xf>
    <xf numFmtId="0" fontId="2" fillId="0" borderId="10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29" fillId="0" borderId="16" xfId="0" applyFont="1" applyBorder="1" applyAlignment="1">
      <alignment horizontal="left" vertical="center"/>
    </xf>
    <xf numFmtId="0" fontId="54" fillId="0" borderId="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166" fontId="2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4" fontId="59" fillId="0" borderId="5" xfId="0" applyNumberFormat="1" applyFont="1" applyFill="1" applyBorder="1" applyAlignment="1" applyProtection="1">
      <alignment horizontal="center" vertical="center" wrapText="1"/>
    </xf>
    <xf numFmtId="4" fontId="57" fillId="0" borderId="6" xfId="0" applyNumberFormat="1" applyFont="1" applyFill="1" applyBorder="1" applyAlignment="1" applyProtection="1">
      <alignment horizontal="center" vertical="center" wrapText="1"/>
    </xf>
    <xf numFmtId="165" fontId="60" fillId="0" borderId="14" xfId="0" applyNumberFormat="1" applyFont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21" fillId="0" borderId="5" xfId="0" applyNumberFormat="1" applyFont="1" applyFill="1" applyBorder="1" applyAlignment="1" applyProtection="1">
      <alignment horizontal="center" vertical="center" wrapText="1"/>
    </xf>
    <xf numFmtId="3" fontId="60" fillId="0" borderId="6" xfId="0" applyNumberFormat="1" applyFont="1" applyBorder="1" applyAlignment="1">
      <alignment vertical="center" wrapText="1"/>
    </xf>
    <xf numFmtId="165" fontId="60" fillId="2" borderId="14" xfId="0" applyNumberFormat="1" applyFont="1" applyFill="1" applyBorder="1" applyAlignment="1">
      <alignment vertical="center" wrapText="1"/>
    </xf>
    <xf numFmtId="3" fontId="60" fillId="2" borderId="6" xfId="0" applyNumberFormat="1" applyFont="1" applyFill="1" applyBorder="1" applyAlignment="1">
      <alignment vertical="center" wrapText="1"/>
    </xf>
    <xf numFmtId="3" fontId="34" fillId="2" borderId="5" xfId="0" applyNumberFormat="1" applyFont="1" applyFill="1" applyBorder="1" applyAlignment="1">
      <alignment vertical="center" wrapText="1"/>
    </xf>
    <xf numFmtId="3" fontId="60" fillId="2" borderId="5" xfId="0" applyNumberFormat="1" applyFont="1" applyFill="1" applyBorder="1" applyAlignment="1">
      <alignment vertical="center" wrapText="1"/>
    </xf>
    <xf numFmtId="3" fontId="60" fillId="2" borderId="14" xfId="0" applyNumberFormat="1" applyFont="1" applyFill="1" applyBorder="1" applyAlignment="1">
      <alignment vertical="center" wrapText="1"/>
    </xf>
    <xf numFmtId="3" fontId="26" fillId="0" borderId="5" xfId="0" applyNumberFormat="1" applyFont="1" applyFill="1" applyBorder="1" applyAlignment="1">
      <alignment vertical="center" wrapText="1"/>
    </xf>
    <xf numFmtId="3" fontId="60" fillId="0" borderId="14" xfId="0" applyNumberFormat="1" applyFont="1" applyFill="1" applyBorder="1" applyAlignment="1">
      <alignment vertical="center" wrapText="1"/>
    </xf>
    <xf numFmtId="3" fontId="60" fillId="3" borderId="14" xfId="0" applyNumberFormat="1" applyFont="1" applyFill="1" applyBorder="1" applyAlignment="1">
      <alignment vertical="center" wrapText="1"/>
    </xf>
    <xf numFmtId="4" fontId="34" fillId="0" borderId="5" xfId="0" applyNumberFormat="1" applyFont="1" applyFill="1" applyBorder="1" applyAlignment="1" applyProtection="1">
      <alignment horizontal="center" vertical="center" wrapText="1"/>
    </xf>
    <xf numFmtId="4" fontId="56" fillId="0" borderId="5" xfId="0" applyNumberFormat="1" applyFont="1" applyFill="1" applyBorder="1" applyAlignment="1" applyProtection="1">
      <alignment horizontal="center" vertical="center" wrapText="1"/>
    </xf>
    <xf numFmtId="4" fontId="21" fillId="0" borderId="6" xfId="0" applyNumberFormat="1" applyFont="1" applyFill="1" applyBorder="1" applyAlignment="1" applyProtection="1">
      <alignment horizontal="center" vertical="center" wrapText="1"/>
    </xf>
    <xf numFmtId="166" fontId="34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4" fontId="59" fillId="0" borderId="5" xfId="0" applyNumberFormat="1" applyFont="1" applyFill="1" applyBorder="1" applyAlignment="1" applyProtection="1">
      <alignment horizontal="right" vertical="center" wrapText="1"/>
    </xf>
    <xf numFmtId="4" fontId="57" fillId="0" borderId="6" xfId="0" applyNumberFormat="1" applyFont="1" applyFill="1" applyBorder="1" applyAlignment="1" applyProtection="1">
      <alignment horizontal="right" vertical="center" wrapText="1"/>
    </xf>
    <xf numFmtId="166" fontId="34" fillId="0" borderId="4" xfId="0" applyNumberFormat="1" applyFont="1" applyFill="1" applyBorder="1" applyAlignment="1" applyProtection="1">
      <alignment horizontal="right" vertical="center" wrapText="1"/>
    </xf>
    <xf numFmtId="166" fontId="21" fillId="0" borderId="5" xfId="0" applyNumberFormat="1" applyFont="1" applyFill="1" applyBorder="1" applyAlignment="1" applyProtection="1">
      <alignment horizontal="right" vertical="center" wrapText="1"/>
    </xf>
    <xf numFmtId="166" fontId="61" fillId="0" borderId="5" xfId="0" applyNumberFormat="1" applyFont="1" applyFill="1" applyBorder="1" applyAlignment="1" applyProtection="1">
      <alignment horizontal="right" vertical="center" wrapText="1"/>
    </xf>
    <xf numFmtId="4" fontId="62" fillId="0" borderId="5" xfId="0" applyNumberFormat="1" applyFont="1" applyFill="1" applyBorder="1" applyAlignment="1" applyProtection="1">
      <alignment horizontal="right" vertical="center" wrapText="1"/>
    </xf>
    <xf numFmtId="4" fontId="63" fillId="0" borderId="5" xfId="0" applyNumberFormat="1" applyFont="1" applyFill="1" applyBorder="1" applyAlignment="1" applyProtection="1">
      <alignment horizontal="right" vertical="center" wrapText="1"/>
    </xf>
    <xf numFmtId="4" fontId="63" fillId="0" borderId="6" xfId="0" applyNumberFormat="1" applyFont="1" applyFill="1" applyBorder="1" applyAlignment="1" applyProtection="1">
      <alignment horizontal="right" vertical="center" wrapText="1"/>
    </xf>
    <xf numFmtId="0" fontId="60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60" fillId="2" borderId="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3" fontId="60" fillId="0" borderId="6" xfId="0" applyNumberFormat="1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vertical="center" wrapText="1"/>
    </xf>
    <xf numFmtId="3" fontId="26" fillId="3" borderId="5" xfId="0" applyNumberFormat="1" applyFont="1" applyFill="1" applyBorder="1" applyAlignment="1">
      <alignment vertical="center" wrapText="1"/>
    </xf>
    <xf numFmtId="3" fontId="60" fillId="3" borderId="6" xfId="0" applyNumberFormat="1" applyFont="1" applyFill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3" fontId="10" fillId="3" borderId="4" xfId="0" applyNumberFormat="1" applyFont="1" applyFill="1" applyBorder="1" applyAlignment="1">
      <alignment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4" fontId="56" fillId="0" borderId="5" xfId="0" applyNumberFormat="1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166" fontId="6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59" fillId="0" borderId="5" xfId="0" applyNumberFormat="1" applyFont="1" applyBorder="1" applyAlignment="1">
      <alignment horizontal="center" vertical="center" wrapText="1"/>
    </xf>
    <xf numFmtId="4" fontId="57" fillId="0" borderId="6" xfId="0" applyNumberFormat="1" applyFont="1" applyBorder="1" applyAlignment="1">
      <alignment horizontal="center" vertical="center" wrapText="1"/>
    </xf>
    <xf numFmtId="166" fontId="7" fillId="0" borderId="25" xfId="0" applyNumberFormat="1" applyFont="1" applyBorder="1" applyAlignment="1">
      <alignment horizontal="right" vertical="center" wrapText="1"/>
    </xf>
    <xf numFmtId="166" fontId="64" fillId="0" borderId="14" xfId="0" applyNumberFormat="1" applyFont="1" applyBorder="1" applyAlignment="1">
      <alignment horizontal="right" vertical="center" wrapText="1"/>
    </xf>
    <xf numFmtId="3" fontId="60" fillId="0" borderId="26" xfId="0" applyNumberFormat="1" applyFont="1" applyBorder="1" applyAlignment="1">
      <alignment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57" fillId="0" borderId="5" xfId="0" applyNumberFormat="1" applyFont="1" applyBorder="1" applyAlignment="1">
      <alignment horizontal="right" vertical="center" wrapText="1"/>
    </xf>
    <xf numFmtId="4" fontId="34" fillId="0" borderId="8" xfId="0" applyNumberFormat="1" applyFont="1" applyBorder="1" applyAlignment="1">
      <alignment horizontal="center" vertical="center" wrapText="1"/>
    </xf>
    <xf numFmtId="166" fontId="34" fillId="0" borderId="7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right" vertical="center" wrapText="1"/>
    </xf>
    <xf numFmtId="3" fontId="8" fillId="0" borderId="29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166" fontId="8" fillId="0" borderId="5" xfId="1" applyNumberFormat="1" applyFont="1" applyBorder="1" applyAlignment="1">
      <alignment horizontal="center" vertical="center" wrapText="1"/>
    </xf>
    <xf numFmtId="166" fontId="8" fillId="0" borderId="13" xfId="1" applyNumberFormat="1" applyFont="1" applyBorder="1" applyAlignment="1">
      <alignment horizontal="center" vertical="center" wrapText="1"/>
    </xf>
    <xf numFmtId="166" fontId="10" fillId="0" borderId="13" xfId="1" applyNumberFormat="1" applyFont="1" applyFill="1" applyBorder="1" applyAlignment="1" applyProtection="1">
      <alignment horizontal="center" vertical="center" wrapText="1"/>
    </xf>
    <xf numFmtId="166" fontId="10" fillId="0" borderId="13" xfId="1" applyNumberFormat="1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vertical="center" wrapText="1"/>
    </xf>
    <xf numFmtId="166" fontId="10" fillId="0" borderId="13" xfId="1" applyNumberFormat="1" applyFont="1" applyFill="1" applyBorder="1" applyAlignment="1" applyProtection="1">
      <alignment horizontal="right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0" borderId="29" xfId="1" applyNumberFormat="1" applyFont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0" fillId="0" borderId="5" xfId="0" applyFont="1" applyBorder="1" applyAlignment="1">
      <alignment vertical="center" wrapText="1"/>
    </xf>
    <xf numFmtId="3" fontId="56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60" fillId="0" borderId="5" xfId="0" applyNumberFormat="1" applyFont="1" applyBorder="1" applyAlignment="1">
      <alignment vertical="center" wrapText="1"/>
    </xf>
    <xf numFmtId="166" fontId="34" fillId="4" borderId="4" xfId="0" applyNumberFormat="1" applyFont="1" applyFill="1" applyBorder="1" applyAlignment="1" applyProtection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60" fillId="3" borderId="6" xfId="0" applyFont="1" applyFill="1" applyBorder="1" applyAlignment="1">
      <alignment vertical="center" wrapText="1"/>
    </xf>
    <xf numFmtId="166" fontId="57" fillId="0" borderId="4" xfId="0" applyNumberFormat="1" applyFont="1" applyBorder="1" applyAlignment="1">
      <alignment horizontal="center" vertical="center" wrapText="1"/>
    </xf>
    <xf numFmtId="166" fontId="57" fillId="0" borderId="5" xfId="0" applyNumberFormat="1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  <color rgb="FF008000"/>
      <color rgb="FFFF000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2"/>
  <sheetViews>
    <sheetView tabSelected="1" zoomScale="110" zoomScaleNormal="110" workbookViewId="0">
      <selection activeCell="A4" sqref="A4:E4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316" t="s">
        <v>0</v>
      </c>
      <c r="F1" s="316"/>
    </row>
    <row r="2" spans="1:10" ht="20.25" customHeight="1" x14ac:dyDescent="0.2">
      <c r="A2" s="1"/>
      <c r="B2" s="1"/>
      <c r="C2" s="1"/>
      <c r="D2" s="206"/>
      <c r="E2" s="206"/>
    </row>
    <row r="3" spans="1:10" ht="52.5" customHeight="1" x14ac:dyDescent="0.2">
      <c r="A3" s="317" t="s">
        <v>192</v>
      </c>
      <c r="B3" s="317"/>
      <c r="C3" s="317"/>
      <c r="D3" s="317"/>
      <c r="E3" s="317"/>
      <c r="F3" s="1"/>
      <c r="G3" s="3"/>
      <c r="H3" s="1"/>
      <c r="I3" s="1"/>
      <c r="J3" s="1"/>
    </row>
    <row r="4" spans="1:10" ht="24" customHeight="1" x14ac:dyDescent="0.2">
      <c r="A4" s="318" t="s">
        <v>190</v>
      </c>
      <c r="B4" s="318"/>
      <c r="C4" s="318"/>
      <c r="D4" s="318"/>
      <c r="E4" s="318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319" t="s">
        <v>4</v>
      </c>
      <c r="B6" s="321" t="s">
        <v>5</v>
      </c>
      <c r="C6" s="321" t="s">
        <v>6</v>
      </c>
      <c r="D6" s="321" t="s">
        <v>7</v>
      </c>
      <c r="E6" s="323" t="s">
        <v>8</v>
      </c>
      <c r="F6" s="310" t="s">
        <v>9</v>
      </c>
      <c r="G6" s="1"/>
      <c r="H6" s="1"/>
      <c r="I6" s="1"/>
      <c r="J6" s="1"/>
    </row>
    <row r="7" spans="1:10" ht="27.75" customHeight="1" x14ac:dyDescent="0.2">
      <c r="A7" s="320"/>
      <c r="B7" s="322"/>
      <c r="C7" s="322"/>
      <c r="D7" s="322"/>
      <c r="E7" s="324"/>
      <c r="F7" s="311"/>
      <c r="G7" s="6" t="s">
        <v>10</v>
      </c>
      <c r="H7" s="1"/>
      <c r="I7" s="1"/>
      <c r="J7" s="1"/>
    </row>
    <row r="8" spans="1:10" ht="24.75" customHeight="1" x14ac:dyDescent="0.2">
      <c r="A8" s="207"/>
      <c r="B8" s="7" t="s">
        <v>11</v>
      </c>
      <c r="C8" s="208" t="s">
        <v>12</v>
      </c>
      <c r="D8" s="292">
        <f>SUM(D9:D13)</f>
        <v>52715.8</v>
      </c>
      <c r="E8" s="293">
        <f>SUM(E9:E13)</f>
        <v>5740.99</v>
      </c>
      <c r="F8" s="289">
        <f>E8/D8</f>
        <v>0.1089045409535661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08" t="s">
        <v>12</v>
      </c>
      <c r="D9" s="292">
        <v>13251</v>
      </c>
      <c r="E9" s="294">
        <v>2896.5</v>
      </c>
      <c r="F9" s="289">
        <f t="shared" ref="F9:F28" si="0">E9/D9</f>
        <v>0.2185872764319674</v>
      </c>
      <c r="G9" s="11">
        <f>E9-D9</f>
        <v>-10354.5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08" t="s">
        <v>12</v>
      </c>
      <c r="D10" s="292">
        <v>14843</v>
      </c>
      <c r="E10" s="295">
        <v>0</v>
      </c>
      <c r="F10" s="289">
        <f t="shared" si="0"/>
        <v>0</v>
      </c>
      <c r="G10" s="11">
        <f t="shared" ref="G10:G28" si="1">E10-D10</f>
        <v>-14843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08" t="s">
        <v>12</v>
      </c>
      <c r="D11" s="292">
        <v>1795</v>
      </c>
      <c r="E11" s="295">
        <v>0</v>
      </c>
      <c r="F11" s="289">
        <f t="shared" si="0"/>
        <v>0</v>
      </c>
      <c r="G11" s="11">
        <f t="shared" si="1"/>
        <v>-1795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08" t="s">
        <v>12</v>
      </c>
      <c r="D12" s="292">
        <v>1055</v>
      </c>
      <c r="E12" s="294">
        <v>71.900000000000006</v>
      </c>
      <c r="F12" s="289">
        <f t="shared" si="0"/>
        <v>6.8151658767772516E-2</v>
      </c>
      <c r="G12" s="11">
        <f t="shared" si="1"/>
        <v>-983.1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08" t="s">
        <v>12</v>
      </c>
      <c r="D13" s="292">
        <f>SUM(D14:D26)</f>
        <v>21771.8</v>
      </c>
      <c r="E13" s="293">
        <f>SUM(E14:E26)</f>
        <v>2772.5899999999997</v>
      </c>
      <c r="F13" s="289">
        <f t="shared" si="0"/>
        <v>0.12734776178359161</v>
      </c>
      <c r="G13" s="11">
        <f t="shared" si="1"/>
        <v>-18999.21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96">
        <v>1141.8</v>
      </c>
      <c r="E14" s="297">
        <v>102.9</v>
      </c>
      <c r="F14" s="289">
        <f t="shared" si="0"/>
        <v>9.0120861797162388E-2</v>
      </c>
      <c r="G14" s="11">
        <f t="shared" si="1"/>
        <v>-1038.8999999999999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96">
        <v>369</v>
      </c>
      <c r="E15" s="297">
        <v>43.5</v>
      </c>
      <c r="F15" s="289">
        <f t="shared" si="0"/>
        <v>0.11788617886178862</v>
      </c>
      <c r="G15" s="11">
        <f t="shared" si="1"/>
        <v>-325.5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106</v>
      </c>
      <c r="C16" s="14"/>
      <c r="D16" s="296">
        <v>5576</v>
      </c>
      <c r="E16" s="297">
        <v>373.07499999999999</v>
      </c>
      <c r="F16" s="289">
        <f t="shared" si="0"/>
        <v>6.6907281205164995E-2</v>
      </c>
      <c r="G16" s="11">
        <f t="shared" si="1"/>
        <v>-5202.9250000000002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96">
        <v>1055</v>
      </c>
      <c r="E17" s="297">
        <v>76.7</v>
      </c>
      <c r="F17" s="289">
        <f t="shared" si="0"/>
        <v>7.2701421800947866E-2</v>
      </c>
      <c r="G17" s="11">
        <f t="shared" si="1"/>
        <v>-978.3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96">
        <v>1126</v>
      </c>
      <c r="E18" s="297">
        <v>152.4</v>
      </c>
      <c r="F18" s="289">
        <f t="shared" si="0"/>
        <v>0.13534635879218473</v>
      </c>
      <c r="G18" s="11">
        <f t="shared" si="1"/>
        <v>-973.6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96">
        <v>2610</v>
      </c>
      <c r="E19" s="297">
        <v>605.9</v>
      </c>
      <c r="F19" s="289">
        <f t="shared" si="0"/>
        <v>0.2321455938697318</v>
      </c>
      <c r="G19" s="11">
        <f t="shared" si="1"/>
        <v>-2004.1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96">
        <v>2111</v>
      </c>
      <c r="E20" s="297">
        <v>186.5</v>
      </c>
      <c r="F20" s="289">
        <f t="shared" si="0"/>
        <v>8.8346755092373289E-2</v>
      </c>
      <c r="G20" s="11">
        <f t="shared" si="1"/>
        <v>-1924.5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96">
        <v>1308</v>
      </c>
      <c r="E21" s="297">
        <v>184.48599999999999</v>
      </c>
      <c r="F21" s="289">
        <f t="shared" si="0"/>
        <v>0.14104434250764525</v>
      </c>
      <c r="G21" s="11">
        <f t="shared" si="1"/>
        <v>-1123.5140000000001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96">
        <v>1266</v>
      </c>
      <c r="E22" s="297">
        <v>19.600000000000001</v>
      </c>
      <c r="F22" s="289">
        <f t="shared" si="0"/>
        <v>1.5481832543443919E-2</v>
      </c>
      <c r="G22" s="11">
        <f t="shared" si="1"/>
        <v>-1246.4000000000001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96">
        <v>554</v>
      </c>
      <c r="E23" s="297">
        <v>71.8</v>
      </c>
      <c r="F23" s="289">
        <f t="shared" si="0"/>
        <v>0.12960288808664258</v>
      </c>
      <c r="G23" s="11">
        <f t="shared" si="1"/>
        <v>-482.2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96">
        <v>3000</v>
      </c>
      <c r="E24" s="297">
        <v>0</v>
      </c>
      <c r="F24" s="289">
        <f t="shared" si="0"/>
        <v>0</v>
      </c>
      <c r="G24" s="11">
        <f t="shared" si="1"/>
        <v>-3000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96">
        <v>1055</v>
      </c>
      <c r="E25" s="297">
        <v>897.56299999999999</v>
      </c>
      <c r="F25" s="289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193</v>
      </c>
      <c r="B26" s="13" t="s">
        <v>194</v>
      </c>
      <c r="C26" s="14"/>
      <c r="D26" s="296">
        <v>600</v>
      </c>
      <c r="E26" s="297">
        <v>58.165999999999997</v>
      </c>
      <c r="F26" s="289">
        <f t="shared" si="0"/>
        <v>9.6943333333333326E-2</v>
      </c>
      <c r="G26" s="11">
        <f t="shared" si="1"/>
        <v>-541.83400000000006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08" t="s">
        <v>12</v>
      </c>
      <c r="D27" s="292">
        <v>60852</v>
      </c>
      <c r="E27" s="293">
        <v>8474.3919999999998</v>
      </c>
      <c r="F27" s="289">
        <f t="shared" si="0"/>
        <v>0.13926234141852362</v>
      </c>
      <c r="G27" s="11">
        <f t="shared" si="1"/>
        <v>-52377.608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98">
        <f>D8+D27</f>
        <v>113567.8</v>
      </c>
      <c r="E28" s="299">
        <f>E8+E27</f>
        <v>14215.382</v>
      </c>
      <c r="F28" s="290">
        <f t="shared" si="0"/>
        <v>0.1251708847049956</v>
      </c>
      <c r="G28" s="11">
        <f t="shared" si="1"/>
        <v>-99352.418000000005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105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312" t="s">
        <v>44</v>
      </c>
      <c r="B33" s="312"/>
      <c r="C33" s="205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313" t="s">
        <v>195</v>
      </c>
      <c r="B34" s="313"/>
      <c r="C34" s="64"/>
      <c r="D34" s="209" t="s">
        <v>47</v>
      </c>
      <c r="E34" s="209" t="s">
        <v>48</v>
      </c>
      <c r="F34" s="209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314" t="s">
        <v>49</v>
      </c>
      <c r="B36" s="314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315" t="s">
        <v>50</v>
      </c>
      <c r="B37" s="315"/>
      <c r="C37" s="209" t="s">
        <v>48</v>
      </c>
      <c r="D37" s="209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E1:F1"/>
    <mergeCell ref="A3:E3"/>
    <mergeCell ref="A4:E4"/>
    <mergeCell ref="A6:A7"/>
    <mergeCell ref="B6:B7"/>
    <mergeCell ref="C6:C7"/>
    <mergeCell ref="D6:D7"/>
    <mergeCell ref="E6:E7"/>
    <mergeCell ref="F6:F7"/>
    <mergeCell ref="A33:B33"/>
    <mergeCell ref="A34:B34"/>
    <mergeCell ref="A36:B36"/>
    <mergeCell ref="A37:B3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topLeftCell="E1" zoomScale="110" zoomScaleNormal="110" workbookViewId="0">
      <selection activeCell="G2" sqref="G2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36" t="s">
        <v>107</v>
      </c>
      <c r="B1" s="336"/>
      <c r="C1" s="336"/>
      <c r="D1" s="336"/>
      <c r="E1" s="336"/>
      <c r="F1" s="336"/>
      <c r="G1" s="336"/>
      <c r="H1" s="31"/>
      <c r="I1" s="31"/>
      <c r="J1" s="31"/>
      <c r="K1" s="31"/>
      <c r="L1" s="31"/>
      <c r="M1" s="31"/>
      <c r="N1" s="31"/>
      <c r="O1" s="31"/>
      <c r="P1" s="31"/>
      <c r="Q1" s="31"/>
      <c r="R1" s="72"/>
      <c r="S1" s="72"/>
      <c r="T1" s="72"/>
      <c r="U1" s="73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219" t="s">
        <v>177</v>
      </c>
      <c r="H2" s="220"/>
      <c r="I2" s="220"/>
      <c r="J2" s="220"/>
      <c r="K2" s="221" t="s">
        <v>178</v>
      </c>
      <c r="L2" s="31"/>
      <c r="M2" s="31"/>
      <c r="N2" s="222" t="s">
        <v>179</v>
      </c>
      <c r="O2" s="31"/>
      <c r="P2" s="31"/>
      <c r="Q2" s="31"/>
      <c r="R2" s="223"/>
      <c r="S2" s="223"/>
      <c r="T2" s="223"/>
      <c r="U2" s="223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37" t="s">
        <v>4</v>
      </c>
      <c r="B3" s="339" t="s">
        <v>108</v>
      </c>
      <c r="C3" s="341" t="s">
        <v>109</v>
      </c>
      <c r="D3" s="343" t="s">
        <v>110</v>
      </c>
      <c r="E3" s="341" t="s">
        <v>111</v>
      </c>
      <c r="F3" s="341"/>
      <c r="G3" s="345"/>
      <c r="H3" s="326" t="s">
        <v>109</v>
      </c>
      <c r="I3" s="328" t="s">
        <v>112</v>
      </c>
      <c r="J3" s="329"/>
      <c r="K3" s="330"/>
      <c r="L3" s="328" t="s">
        <v>62</v>
      </c>
      <c r="M3" s="329"/>
      <c r="N3" s="330"/>
      <c r="O3" s="328" t="s">
        <v>113</v>
      </c>
      <c r="P3" s="329"/>
      <c r="Q3" s="330"/>
      <c r="R3" s="331" t="s">
        <v>114</v>
      </c>
      <c r="S3" s="332"/>
      <c r="T3" s="332"/>
      <c r="U3" s="333"/>
      <c r="V3" s="334" t="s">
        <v>115</v>
      </c>
      <c r="W3" s="335"/>
      <c r="X3" s="335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1:50" ht="15" x14ac:dyDescent="0.2">
      <c r="A4" s="338"/>
      <c r="B4" s="340"/>
      <c r="C4" s="342"/>
      <c r="D4" s="344"/>
      <c r="E4" s="213" t="s">
        <v>180</v>
      </c>
      <c r="F4" s="213" t="s">
        <v>181</v>
      </c>
      <c r="G4" s="76" t="s">
        <v>182</v>
      </c>
      <c r="H4" s="327"/>
      <c r="I4" s="212" t="s">
        <v>180</v>
      </c>
      <c r="J4" s="213" t="s">
        <v>181</v>
      </c>
      <c r="K4" s="76" t="s">
        <v>182</v>
      </c>
      <c r="L4" s="212" t="s">
        <v>180</v>
      </c>
      <c r="M4" s="213" t="s">
        <v>181</v>
      </c>
      <c r="N4" s="76" t="s">
        <v>182</v>
      </c>
      <c r="O4" s="212" t="s">
        <v>180</v>
      </c>
      <c r="P4" s="213" t="s">
        <v>181</v>
      </c>
      <c r="Q4" s="76" t="s">
        <v>182</v>
      </c>
      <c r="R4" s="212" t="s">
        <v>180</v>
      </c>
      <c r="S4" s="213" t="s">
        <v>181</v>
      </c>
      <c r="T4" s="76" t="s">
        <v>182</v>
      </c>
      <c r="U4" s="79" t="s">
        <v>118</v>
      </c>
      <c r="V4" s="224" t="s">
        <v>180</v>
      </c>
      <c r="W4" s="225" t="s">
        <v>181</v>
      </c>
      <c r="X4" s="226" t="s">
        <v>182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</row>
    <row r="5" spans="1:50" ht="14.25" customHeight="1" x14ac:dyDescent="0.2">
      <c r="A5" s="211">
        <v>1</v>
      </c>
      <c r="B5" s="212">
        <v>2</v>
      </c>
      <c r="C5" s="213">
        <v>3</v>
      </c>
      <c r="D5" s="214">
        <v>4</v>
      </c>
      <c r="E5" s="213">
        <v>5</v>
      </c>
      <c r="F5" s="213">
        <v>6</v>
      </c>
      <c r="G5" s="76">
        <v>7</v>
      </c>
      <c r="H5" s="215">
        <v>8</v>
      </c>
      <c r="I5" s="212">
        <v>9</v>
      </c>
      <c r="J5" s="213">
        <v>10</v>
      </c>
      <c r="K5" s="76">
        <v>11</v>
      </c>
      <c r="L5" s="212">
        <v>12</v>
      </c>
      <c r="M5" s="213">
        <v>13</v>
      </c>
      <c r="N5" s="76">
        <v>14</v>
      </c>
      <c r="O5" s="212">
        <v>15</v>
      </c>
      <c r="P5" s="213">
        <v>16</v>
      </c>
      <c r="Q5" s="76">
        <v>17</v>
      </c>
      <c r="R5" s="212">
        <v>18</v>
      </c>
      <c r="S5" s="213">
        <v>19</v>
      </c>
      <c r="T5" s="78">
        <v>20</v>
      </c>
      <c r="U5" s="79">
        <v>21</v>
      </c>
      <c r="V5" s="300"/>
      <c r="W5" s="301"/>
      <c r="X5" s="302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1:50" ht="33" customHeight="1" x14ac:dyDescent="0.2">
      <c r="A6" s="86"/>
      <c r="B6" s="87" t="s">
        <v>11</v>
      </c>
      <c r="C6" s="213"/>
      <c r="D6" s="214"/>
      <c r="E6" s="88"/>
      <c r="F6" s="88"/>
      <c r="G6" s="89"/>
      <c r="H6" s="90"/>
      <c r="I6" s="91"/>
      <c r="J6" s="92"/>
      <c r="K6" s="93"/>
      <c r="L6" s="91"/>
      <c r="M6" s="92"/>
      <c r="N6" s="93"/>
      <c r="O6" s="91"/>
      <c r="P6" s="92"/>
      <c r="Q6" s="93"/>
      <c r="R6" s="227">
        <f>SUM(R7:R15)</f>
        <v>52851</v>
      </c>
      <c r="S6" s="95">
        <f>SUM(S7:S15)</f>
        <v>54969</v>
      </c>
      <c r="T6" s="228">
        <f>SUM(T7:T15)</f>
        <v>57717</v>
      </c>
      <c r="U6" s="93">
        <f>SUM(R6:T6)</f>
        <v>165537</v>
      </c>
      <c r="V6" s="300"/>
      <c r="W6" s="301"/>
      <c r="X6" s="303"/>
      <c r="Y6" s="325" t="s">
        <v>183</v>
      </c>
      <c r="Z6" s="325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</row>
    <row r="7" spans="1:50" ht="25.5" customHeight="1" x14ac:dyDescent="0.2">
      <c r="A7" s="97">
        <v>1</v>
      </c>
      <c r="B7" s="98" t="s">
        <v>13</v>
      </c>
      <c r="C7" s="99" t="s">
        <v>70</v>
      </c>
      <c r="D7" s="43" t="s">
        <v>119</v>
      </c>
      <c r="E7" s="229">
        <f>R7/I7</f>
        <v>108.45207598438407</v>
      </c>
      <c r="F7" s="230">
        <f>S7/J7</f>
        <v>113.87017833904879</v>
      </c>
      <c r="G7" s="231">
        <f>T7/K7</f>
        <v>119.56655181162681</v>
      </c>
      <c r="H7" s="103" t="s">
        <v>122</v>
      </c>
      <c r="I7" s="104">
        <v>122.18300000000001</v>
      </c>
      <c r="J7" s="105">
        <v>122.18300000000001</v>
      </c>
      <c r="K7" s="232">
        <v>122.18300000000001</v>
      </c>
      <c r="L7" s="91"/>
      <c r="M7" s="92"/>
      <c r="N7" s="93"/>
      <c r="O7" s="107"/>
      <c r="P7" s="108"/>
      <c r="Q7" s="106"/>
      <c r="R7" s="233">
        <v>13251</v>
      </c>
      <c r="S7" s="110">
        <v>13913</v>
      </c>
      <c r="T7" s="234">
        <v>14609</v>
      </c>
      <c r="U7" s="93">
        <f t="shared" ref="U7:U34" si="0">SUM(R7:T7)</f>
        <v>41773</v>
      </c>
      <c r="V7" s="300"/>
      <c r="W7" s="301"/>
      <c r="X7" s="302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</row>
    <row r="8" spans="1:50" ht="24.75" customHeight="1" x14ac:dyDescent="0.2">
      <c r="A8" s="97"/>
      <c r="B8" s="98"/>
      <c r="C8" s="99" t="s">
        <v>121</v>
      </c>
      <c r="D8" s="43" t="s">
        <v>73</v>
      </c>
      <c r="E8" s="229">
        <f>O8/V8</f>
        <v>0.10782122905027934</v>
      </c>
      <c r="F8" s="230">
        <f>P8/W8</f>
        <v>0.10604395604395604</v>
      </c>
      <c r="G8" s="231">
        <f>Q8/X8</f>
        <v>0.10404312668463611</v>
      </c>
      <c r="H8" s="103" t="s">
        <v>120</v>
      </c>
      <c r="I8" s="112"/>
      <c r="J8" s="113"/>
      <c r="K8" s="235"/>
      <c r="L8" s="91"/>
      <c r="M8" s="92"/>
      <c r="N8" s="93"/>
      <c r="O8" s="114">
        <v>3.86</v>
      </c>
      <c r="P8" s="115">
        <v>3.86</v>
      </c>
      <c r="Q8" s="236">
        <v>3.86</v>
      </c>
      <c r="R8" s="233"/>
      <c r="S8" s="110"/>
      <c r="T8" s="234"/>
      <c r="U8" s="93">
        <f t="shared" si="0"/>
        <v>0</v>
      </c>
      <c r="V8" s="300">
        <v>35.799999999999997</v>
      </c>
      <c r="W8" s="304">
        <v>36.4</v>
      </c>
      <c r="X8" s="305">
        <v>37.1</v>
      </c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</row>
    <row r="9" spans="1:50" ht="27" customHeight="1" x14ac:dyDescent="0.2">
      <c r="A9" s="97"/>
      <c r="B9" s="98"/>
      <c r="C9" s="99" t="s">
        <v>74</v>
      </c>
      <c r="D9" s="43" t="s">
        <v>75</v>
      </c>
      <c r="E9" s="229">
        <f>I9/V9</f>
        <v>3.4129329608938552</v>
      </c>
      <c r="F9" s="230">
        <f>J9/W9</f>
        <v>3.3566758241758246</v>
      </c>
      <c r="G9" s="231">
        <f>K9/X9</f>
        <v>3.2933423180592993</v>
      </c>
      <c r="H9" s="103" t="s">
        <v>122</v>
      </c>
      <c r="I9" s="104">
        <v>122.18300000000001</v>
      </c>
      <c r="J9" s="105">
        <v>122.18300000000001</v>
      </c>
      <c r="K9" s="232">
        <v>122.18300000000001</v>
      </c>
      <c r="L9" s="91"/>
      <c r="M9" s="92"/>
      <c r="N9" s="93"/>
      <c r="O9" s="91"/>
      <c r="P9" s="92"/>
      <c r="Q9" s="235"/>
      <c r="R9" s="233"/>
      <c r="S9" s="110"/>
      <c r="T9" s="234"/>
      <c r="U9" s="93">
        <f t="shared" si="0"/>
        <v>0</v>
      </c>
      <c r="V9" s="300">
        <v>35.799999999999997</v>
      </c>
      <c r="W9" s="304">
        <v>36.4</v>
      </c>
      <c r="X9" s="305">
        <v>37.1</v>
      </c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1:50" ht="25.5" customHeight="1" x14ac:dyDescent="0.2">
      <c r="A10" s="97">
        <v>2</v>
      </c>
      <c r="B10" s="98" t="s">
        <v>14</v>
      </c>
      <c r="C10" s="210" t="s">
        <v>76</v>
      </c>
      <c r="D10" s="43" t="s">
        <v>77</v>
      </c>
      <c r="E10" s="229">
        <f>L10/V10</f>
        <v>9.416449720670391</v>
      </c>
      <c r="F10" s="230">
        <f>M10/W10</f>
        <v>9.2612362637362633</v>
      </c>
      <c r="G10" s="231">
        <f>N10/X10</f>
        <v>9.0864851752021565</v>
      </c>
      <c r="H10" s="117" t="s">
        <v>123</v>
      </c>
      <c r="I10" s="118"/>
      <c r="J10" s="119"/>
      <c r="K10" s="237"/>
      <c r="L10" s="238">
        <v>337108.9</v>
      </c>
      <c r="M10" s="54">
        <v>337109</v>
      </c>
      <c r="N10" s="239">
        <v>337108.6</v>
      </c>
      <c r="O10" s="91"/>
      <c r="P10" s="92"/>
      <c r="Q10" s="235"/>
      <c r="R10" s="233">
        <v>14843</v>
      </c>
      <c r="S10" s="110">
        <v>15585</v>
      </c>
      <c r="T10" s="234">
        <v>16364</v>
      </c>
      <c r="U10" s="93">
        <f t="shared" si="0"/>
        <v>46792</v>
      </c>
      <c r="V10" s="306">
        <v>35800</v>
      </c>
      <c r="W10" s="307">
        <v>36400</v>
      </c>
      <c r="X10" s="308">
        <v>37100</v>
      </c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</row>
    <row r="11" spans="1:50" ht="25.5" customHeight="1" x14ac:dyDescent="0.2">
      <c r="A11" s="97"/>
      <c r="B11" s="98"/>
      <c r="C11" s="210" t="s">
        <v>124</v>
      </c>
      <c r="D11" s="43" t="s">
        <v>73</v>
      </c>
      <c r="E11" s="229">
        <f>O11/V11</f>
        <v>6.1452513966480451</v>
      </c>
      <c r="F11" s="230">
        <f>P11/W11</f>
        <v>6.0439560439560438</v>
      </c>
      <c r="G11" s="231">
        <f>Q11/X11</f>
        <v>5.9299191374663076</v>
      </c>
      <c r="H11" s="117" t="s">
        <v>125</v>
      </c>
      <c r="I11" s="91"/>
      <c r="J11" s="92"/>
      <c r="K11" s="235"/>
      <c r="L11" s="112"/>
      <c r="M11" s="113"/>
      <c r="N11" s="93"/>
      <c r="O11" s="121">
        <v>220000</v>
      </c>
      <c r="P11" s="54">
        <v>220000</v>
      </c>
      <c r="Q11" s="240">
        <v>220000</v>
      </c>
      <c r="R11" s="233"/>
      <c r="S11" s="110"/>
      <c r="T11" s="234"/>
      <c r="U11" s="93">
        <f t="shared" si="0"/>
        <v>0</v>
      </c>
      <c r="V11" s="306">
        <v>35800</v>
      </c>
      <c r="W11" s="307">
        <v>36400</v>
      </c>
      <c r="X11" s="308">
        <v>37100</v>
      </c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</row>
    <row r="12" spans="1:50" ht="27.75" customHeight="1" x14ac:dyDescent="0.2">
      <c r="A12" s="97">
        <v>3</v>
      </c>
      <c r="B12" s="98" t="s">
        <v>15</v>
      </c>
      <c r="C12" s="125" t="s">
        <v>79</v>
      </c>
      <c r="D12" s="43" t="s">
        <v>80</v>
      </c>
      <c r="E12" s="229">
        <f>L12/V12</f>
        <v>0.27804469273743015</v>
      </c>
      <c r="F12" s="230">
        <f>M12/W12</f>
        <v>0.27346153846153848</v>
      </c>
      <c r="G12" s="231">
        <f>N12/X12</f>
        <v>0.26830188679245282</v>
      </c>
      <c r="H12" s="126" t="s">
        <v>123</v>
      </c>
      <c r="I12" s="118"/>
      <c r="J12" s="119"/>
      <c r="K12" s="237"/>
      <c r="L12" s="121">
        <v>9954</v>
      </c>
      <c r="M12" s="241">
        <v>9954</v>
      </c>
      <c r="N12" s="242">
        <v>9954</v>
      </c>
      <c r="O12" s="112"/>
      <c r="P12" s="92"/>
      <c r="Q12" s="235"/>
      <c r="R12" s="233">
        <v>1795</v>
      </c>
      <c r="S12" s="110">
        <v>1885</v>
      </c>
      <c r="T12" s="234">
        <v>1979</v>
      </c>
      <c r="U12" s="93">
        <f t="shared" si="0"/>
        <v>5659</v>
      </c>
      <c r="V12" s="306">
        <v>35800</v>
      </c>
      <c r="W12" s="307">
        <v>36400</v>
      </c>
      <c r="X12" s="308">
        <v>37100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</row>
    <row r="13" spans="1:50" ht="18" customHeight="1" x14ac:dyDescent="0.2">
      <c r="A13" s="97"/>
      <c r="B13" s="98"/>
      <c r="C13" s="125" t="s">
        <v>124</v>
      </c>
      <c r="D13" s="43" t="s">
        <v>73</v>
      </c>
      <c r="E13" s="229">
        <f>O13/V13</f>
        <v>0.72625698324022347</v>
      </c>
      <c r="F13" s="230">
        <f>P13/W13</f>
        <v>0.7142857142857143</v>
      </c>
      <c r="G13" s="231">
        <f>Q13/X13</f>
        <v>0.70080862533692723</v>
      </c>
      <c r="H13" s="126" t="s">
        <v>125</v>
      </c>
      <c r="I13" s="91"/>
      <c r="J13" s="92"/>
      <c r="K13" s="235"/>
      <c r="L13" s="112"/>
      <c r="M13" s="113"/>
      <c r="N13" s="93"/>
      <c r="O13" s="121">
        <v>26000</v>
      </c>
      <c r="P13" s="241">
        <v>26000</v>
      </c>
      <c r="Q13" s="243">
        <v>26000</v>
      </c>
      <c r="R13" s="233"/>
      <c r="S13" s="110"/>
      <c r="T13" s="234"/>
      <c r="U13" s="93">
        <f t="shared" si="0"/>
        <v>0</v>
      </c>
      <c r="V13" s="306">
        <v>35800</v>
      </c>
      <c r="W13" s="307">
        <v>36400</v>
      </c>
      <c r="X13" s="308">
        <v>37100</v>
      </c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</row>
    <row r="14" spans="1:50" ht="22.5" customHeight="1" x14ac:dyDescent="0.2">
      <c r="A14" s="97">
        <v>4</v>
      </c>
      <c r="B14" s="98" t="s">
        <v>16</v>
      </c>
      <c r="C14" s="210" t="s">
        <v>82</v>
      </c>
      <c r="D14" s="43" t="s">
        <v>83</v>
      </c>
      <c r="E14" s="229">
        <f>R14*1000/L14</f>
        <v>8.6475409836065573</v>
      </c>
      <c r="F14" s="230">
        <f>S14*1000/M14</f>
        <v>9.0819672131147549</v>
      </c>
      <c r="G14" s="231">
        <f>T14*1000/N14</f>
        <v>9.5327868852459012</v>
      </c>
      <c r="H14" s="117" t="s">
        <v>126</v>
      </c>
      <c r="I14" s="118"/>
      <c r="J14" s="119"/>
      <c r="K14" s="237"/>
      <c r="L14" s="121">
        <v>122000</v>
      </c>
      <c r="M14" s="54">
        <v>122000</v>
      </c>
      <c r="N14" s="240">
        <v>122000</v>
      </c>
      <c r="O14" s="91"/>
      <c r="P14" s="92"/>
      <c r="Q14" s="235"/>
      <c r="R14" s="233">
        <v>1055</v>
      </c>
      <c r="S14" s="131">
        <v>1108</v>
      </c>
      <c r="T14" s="234">
        <v>1163</v>
      </c>
      <c r="U14" s="93">
        <f t="shared" si="0"/>
        <v>3326</v>
      </c>
      <c r="V14" s="145"/>
      <c r="W14" s="146"/>
      <c r="X14" s="146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</row>
    <row r="15" spans="1:50" ht="25.5" customHeight="1" x14ac:dyDescent="0.2">
      <c r="A15" s="97">
        <v>5</v>
      </c>
      <c r="B15" s="98" t="s">
        <v>17</v>
      </c>
      <c r="C15" s="210"/>
      <c r="D15" s="43"/>
      <c r="E15" s="244"/>
      <c r="F15" s="245"/>
      <c r="G15" s="246"/>
      <c r="H15" s="117"/>
      <c r="I15" s="91"/>
      <c r="J15" s="92"/>
      <c r="K15" s="235"/>
      <c r="L15" s="91"/>
      <c r="M15" s="113"/>
      <c r="N15" s="93"/>
      <c r="O15" s="91"/>
      <c r="P15" s="92"/>
      <c r="Q15" s="235"/>
      <c r="R15" s="247">
        <f>SUM(R16:R29)</f>
        <v>21907</v>
      </c>
      <c r="S15" s="136">
        <f>SUM(S16:S29)</f>
        <v>22478</v>
      </c>
      <c r="T15" s="234">
        <f>SUM(T16:T29)</f>
        <v>23602</v>
      </c>
      <c r="U15" s="93">
        <f t="shared" si="0"/>
        <v>67987</v>
      </c>
      <c r="V15" s="145"/>
      <c r="W15" s="146"/>
      <c r="X15" s="146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</row>
    <row r="16" spans="1:50" ht="25.5" customHeight="1" x14ac:dyDescent="0.2">
      <c r="A16" s="137" t="s">
        <v>127</v>
      </c>
      <c r="B16" s="98" t="s">
        <v>19</v>
      </c>
      <c r="C16" s="210" t="s">
        <v>84</v>
      </c>
      <c r="D16" s="43" t="s">
        <v>83</v>
      </c>
      <c r="E16" s="248">
        <f>R16*1000/L16</f>
        <v>207.30519480519482</v>
      </c>
      <c r="F16" s="249">
        <f t="shared" ref="F16:G19" si="1">S16*1000/M16</f>
        <v>217.69480519480518</v>
      </c>
      <c r="G16" s="250">
        <f t="shared" si="1"/>
        <v>228.57142857142858</v>
      </c>
      <c r="H16" s="117" t="s">
        <v>128</v>
      </c>
      <c r="I16" s="118"/>
      <c r="J16" s="119"/>
      <c r="K16" s="237"/>
      <c r="L16" s="121">
        <v>6160</v>
      </c>
      <c r="M16" s="54">
        <v>6160</v>
      </c>
      <c r="N16" s="240">
        <v>6160</v>
      </c>
      <c r="O16" s="91"/>
      <c r="P16" s="92"/>
      <c r="Q16" s="235"/>
      <c r="R16" s="251">
        <v>1277</v>
      </c>
      <c r="S16" s="142">
        <v>1341</v>
      </c>
      <c r="T16" s="252">
        <v>1408</v>
      </c>
      <c r="U16" s="93">
        <f t="shared" si="0"/>
        <v>4026</v>
      </c>
      <c r="V16" s="145"/>
      <c r="W16" s="146"/>
      <c r="X16" s="146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</row>
    <row r="17" spans="1:50" ht="25.5" customHeight="1" x14ac:dyDescent="0.2">
      <c r="A17" s="137" t="s">
        <v>129</v>
      </c>
      <c r="B17" s="98" t="s">
        <v>21</v>
      </c>
      <c r="C17" s="210" t="s">
        <v>85</v>
      </c>
      <c r="D17" s="43" t="s">
        <v>83</v>
      </c>
      <c r="E17" s="248">
        <f>R17*1000/L17</f>
        <v>976.19047619047615</v>
      </c>
      <c r="F17" s="249">
        <f t="shared" si="1"/>
        <v>1026.4550264550264</v>
      </c>
      <c r="G17" s="250">
        <f t="shared" si="1"/>
        <v>1076.7195767195767</v>
      </c>
      <c r="H17" s="117" t="s">
        <v>130</v>
      </c>
      <c r="I17" s="118"/>
      <c r="J17" s="119"/>
      <c r="K17" s="237"/>
      <c r="L17" s="121">
        <v>378</v>
      </c>
      <c r="M17" s="54">
        <v>378</v>
      </c>
      <c r="N17" s="240">
        <v>378</v>
      </c>
      <c r="O17" s="91"/>
      <c r="P17" s="92"/>
      <c r="Q17" s="235"/>
      <c r="R17" s="251">
        <v>369</v>
      </c>
      <c r="S17" s="142">
        <v>388</v>
      </c>
      <c r="T17" s="252">
        <v>407</v>
      </c>
      <c r="U17" s="93">
        <f t="shared" si="0"/>
        <v>1164</v>
      </c>
      <c r="V17" s="145"/>
      <c r="W17" s="146"/>
      <c r="X17" s="146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</row>
    <row r="18" spans="1:50" ht="25.5" customHeight="1" x14ac:dyDescent="0.2">
      <c r="A18" s="137" t="s">
        <v>131</v>
      </c>
      <c r="B18" s="98" t="s">
        <v>23</v>
      </c>
      <c r="C18" s="210" t="s">
        <v>132</v>
      </c>
      <c r="D18" s="43" t="s">
        <v>83</v>
      </c>
      <c r="E18" s="248">
        <f>R18*1000/L18</f>
        <v>222.9775662814412</v>
      </c>
      <c r="F18" s="249">
        <f t="shared" si="1"/>
        <v>234.13444235614028</v>
      </c>
      <c r="G18" s="250">
        <f t="shared" si="1"/>
        <v>245.85116167473109</v>
      </c>
      <c r="H18" s="117" t="s">
        <v>133</v>
      </c>
      <c r="I18" s="118"/>
      <c r="J18" s="119"/>
      <c r="K18" s="237"/>
      <c r="L18" s="121">
        <v>25007</v>
      </c>
      <c r="M18" s="54">
        <v>25007</v>
      </c>
      <c r="N18" s="240">
        <v>25007</v>
      </c>
      <c r="O18" s="91"/>
      <c r="P18" s="92"/>
      <c r="Q18" s="235"/>
      <c r="R18" s="251">
        <v>5576</v>
      </c>
      <c r="S18" s="142">
        <v>5855</v>
      </c>
      <c r="T18" s="253">
        <v>6148</v>
      </c>
      <c r="U18" s="93">
        <f t="shared" si="0"/>
        <v>17579</v>
      </c>
      <c r="V18" s="145"/>
      <c r="W18" s="146"/>
      <c r="X18" s="146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</row>
    <row r="19" spans="1:50" ht="36.75" customHeight="1" x14ac:dyDescent="0.2">
      <c r="A19" s="137" t="s">
        <v>134</v>
      </c>
      <c r="B19" s="98" t="s">
        <v>25</v>
      </c>
      <c r="C19" s="210" t="s">
        <v>87</v>
      </c>
      <c r="D19" s="43" t="s">
        <v>83</v>
      </c>
      <c r="E19" s="248">
        <f>R19*1000/L19</f>
        <v>73.263888888888886</v>
      </c>
      <c r="F19" s="249">
        <f t="shared" si="1"/>
        <v>76.944444444444443</v>
      </c>
      <c r="G19" s="250">
        <f t="shared" si="1"/>
        <v>80.763888888888886</v>
      </c>
      <c r="H19" s="117" t="s">
        <v>135</v>
      </c>
      <c r="I19" s="118"/>
      <c r="J19" s="119"/>
      <c r="K19" s="237"/>
      <c r="L19" s="121">
        <v>14400</v>
      </c>
      <c r="M19" s="54">
        <v>14400</v>
      </c>
      <c r="N19" s="240">
        <v>14400</v>
      </c>
      <c r="O19" s="91"/>
      <c r="P19" s="92"/>
      <c r="Q19" s="235"/>
      <c r="R19" s="251">
        <v>1055</v>
      </c>
      <c r="S19" s="142">
        <v>1108</v>
      </c>
      <c r="T19" s="253">
        <v>1163</v>
      </c>
      <c r="U19" s="93">
        <f t="shared" si="0"/>
        <v>3326</v>
      </c>
      <c r="V19" s="145"/>
      <c r="W19" s="146"/>
      <c r="X19" s="146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</row>
    <row r="20" spans="1:50" ht="27" customHeight="1" x14ac:dyDescent="0.2">
      <c r="A20" s="137" t="s">
        <v>136</v>
      </c>
      <c r="B20" s="98" t="s">
        <v>27</v>
      </c>
      <c r="C20" s="210" t="s">
        <v>88</v>
      </c>
      <c r="D20" s="43" t="s">
        <v>89</v>
      </c>
      <c r="E20" s="254">
        <f t="shared" ref="E20:G25" si="2">R20*1000/O20</f>
        <v>3600</v>
      </c>
      <c r="F20" s="255">
        <f t="shared" si="2"/>
        <v>3089.2608089260807</v>
      </c>
      <c r="G20" s="256">
        <f t="shared" si="2"/>
        <v>3244.0725244072523</v>
      </c>
      <c r="H20" s="117" t="s">
        <v>137</v>
      </c>
      <c r="I20" s="145"/>
      <c r="J20" s="146"/>
      <c r="K20" s="257"/>
      <c r="L20" s="145"/>
      <c r="M20" s="258"/>
      <c r="N20" s="257"/>
      <c r="O20" s="121">
        <v>725</v>
      </c>
      <c r="P20" s="57">
        <v>717</v>
      </c>
      <c r="Q20" s="240">
        <v>717</v>
      </c>
      <c r="R20" s="251">
        <f>2110+500</f>
        <v>2610</v>
      </c>
      <c r="S20" s="142">
        <v>2215</v>
      </c>
      <c r="T20" s="253">
        <v>2326</v>
      </c>
      <c r="U20" s="93">
        <f t="shared" si="0"/>
        <v>7151</v>
      </c>
      <c r="V20" s="145"/>
      <c r="W20" s="146"/>
      <c r="X20" s="146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</row>
    <row r="21" spans="1:50" ht="38.25" x14ac:dyDescent="0.2">
      <c r="A21" s="137" t="s">
        <v>138</v>
      </c>
      <c r="B21" s="98" t="s">
        <v>184</v>
      </c>
      <c r="C21" s="210" t="s">
        <v>90</v>
      </c>
      <c r="D21" s="43" t="s">
        <v>91</v>
      </c>
      <c r="E21" s="248">
        <f t="shared" si="2"/>
        <v>31984.848484848484</v>
      </c>
      <c r="F21" s="249">
        <f t="shared" si="2"/>
        <v>33590.909090909088</v>
      </c>
      <c r="G21" s="250">
        <f t="shared" si="2"/>
        <v>35272.727272727272</v>
      </c>
      <c r="H21" s="117" t="s">
        <v>140</v>
      </c>
      <c r="I21" s="149"/>
      <c r="J21" s="150"/>
      <c r="K21" s="259"/>
      <c r="L21" s="149"/>
      <c r="M21" s="260"/>
      <c r="N21" s="259"/>
      <c r="O21" s="121">
        <v>66</v>
      </c>
      <c r="P21" s="57">
        <v>66</v>
      </c>
      <c r="Q21" s="240">
        <v>66</v>
      </c>
      <c r="R21" s="251">
        <v>2111</v>
      </c>
      <c r="S21" s="142">
        <v>2217</v>
      </c>
      <c r="T21" s="253">
        <v>2328</v>
      </c>
      <c r="U21" s="93">
        <f t="shared" si="0"/>
        <v>6656</v>
      </c>
      <c r="V21" s="145"/>
      <c r="W21" s="146"/>
      <c r="X21" s="146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</row>
    <row r="22" spans="1:50" ht="25.5" customHeight="1" x14ac:dyDescent="0.2">
      <c r="A22" s="137" t="s">
        <v>141</v>
      </c>
      <c r="B22" s="98" t="s">
        <v>142</v>
      </c>
      <c r="C22" s="210" t="s">
        <v>92</v>
      </c>
      <c r="D22" s="43" t="s">
        <v>91</v>
      </c>
      <c r="E22" s="248">
        <f t="shared" si="2"/>
        <v>19583.333333333332</v>
      </c>
      <c r="F22" s="249">
        <f t="shared" si="2"/>
        <v>20583.333333333332</v>
      </c>
      <c r="G22" s="250">
        <f t="shared" si="2"/>
        <v>21583.333333333332</v>
      </c>
      <c r="H22" s="117" t="s">
        <v>143</v>
      </c>
      <c r="I22" s="145"/>
      <c r="J22" s="146"/>
      <c r="K22" s="257"/>
      <c r="L22" s="145"/>
      <c r="M22" s="258"/>
      <c r="N22" s="257"/>
      <c r="O22" s="121">
        <v>12</v>
      </c>
      <c r="P22" s="57">
        <v>12</v>
      </c>
      <c r="Q22" s="240">
        <v>12</v>
      </c>
      <c r="R22" s="309">
        <v>235</v>
      </c>
      <c r="S22" s="142">
        <v>247</v>
      </c>
      <c r="T22" s="253">
        <v>259</v>
      </c>
      <c r="U22" s="93">
        <f t="shared" si="0"/>
        <v>741</v>
      </c>
      <c r="V22" s="367">
        <f>R22+R23</f>
        <v>1308</v>
      </c>
      <c r="W22" s="368">
        <f>S22+S23</f>
        <v>1373</v>
      </c>
      <c r="X22" s="368">
        <f>T22+T23</f>
        <v>1442</v>
      </c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</row>
    <row r="23" spans="1:50" ht="25.5" customHeight="1" x14ac:dyDescent="0.2">
      <c r="A23" s="137" t="s">
        <v>146</v>
      </c>
      <c r="B23" s="98" t="s">
        <v>144</v>
      </c>
      <c r="C23" s="210" t="s">
        <v>93</v>
      </c>
      <c r="D23" s="43" t="s">
        <v>91</v>
      </c>
      <c r="E23" s="248">
        <f t="shared" si="2"/>
        <v>2751.2820512820513</v>
      </c>
      <c r="F23" s="249">
        <f t="shared" si="2"/>
        <v>2887.1794871794873</v>
      </c>
      <c r="G23" s="250">
        <f t="shared" si="2"/>
        <v>3033.3333333333335</v>
      </c>
      <c r="H23" s="117" t="s">
        <v>145</v>
      </c>
      <c r="I23" s="145"/>
      <c r="J23" s="146"/>
      <c r="K23" s="257"/>
      <c r="L23" s="145"/>
      <c r="M23" s="258"/>
      <c r="N23" s="257"/>
      <c r="O23" s="121">
        <v>390</v>
      </c>
      <c r="P23" s="57">
        <v>390</v>
      </c>
      <c r="Q23" s="240">
        <v>390</v>
      </c>
      <c r="R23" s="309">
        <v>1073</v>
      </c>
      <c r="S23" s="142">
        <v>1126</v>
      </c>
      <c r="T23" s="253">
        <v>1183</v>
      </c>
      <c r="U23" s="93">
        <f t="shared" si="0"/>
        <v>3382</v>
      </c>
      <c r="V23" s="369"/>
      <c r="W23" s="370"/>
      <c r="X23" s="370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</row>
    <row r="24" spans="1:50" ht="25.5" x14ac:dyDescent="0.2">
      <c r="A24" s="137" t="s">
        <v>148</v>
      </c>
      <c r="B24" s="98" t="s">
        <v>33</v>
      </c>
      <c r="C24" s="210" t="s">
        <v>94</v>
      </c>
      <c r="D24" s="43" t="s">
        <v>91</v>
      </c>
      <c r="E24" s="248">
        <f t="shared" si="2"/>
        <v>7317.9190751445085</v>
      </c>
      <c r="F24" s="249">
        <f>S24*1000/P24</f>
        <v>7682.0809248554915</v>
      </c>
      <c r="G24" s="250">
        <f t="shared" si="2"/>
        <v>8069.3641618497113</v>
      </c>
      <c r="H24" s="90" t="s">
        <v>147</v>
      </c>
      <c r="I24" s="145"/>
      <c r="J24" s="146"/>
      <c r="K24" s="257"/>
      <c r="L24" s="145"/>
      <c r="M24" s="258"/>
      <c r="N24" s="257"/>
      <c r="O24" s="121">
        <v>173</v>
      </c>
      <c r="P24" s="57">
        <v>173</v>
      </c>
      <c r="Q24" s="240">
        <v>173</v>
      </c>
      <c r="R24" s="251">
        <v>1266</v>
      </c>
      <c r="S24" s="142">
        <v>1329</v>
      </c>
      <c r="T24" s="253">
        <v>1396</v>
      </c>
      <c r="U24" s="93">
        <f t="shared" si="0"/>
        <v>3991</v>
      </c>
      <c r="V24" s="145"/>
      <c r="W24" s="146"/>
      <c r="X24" s="146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</row>
    <row r="25" spans="1:50" ht="28.5" customHeight="1" x14ac:dyDescent="0.2">
      <c r="A25" s="137" t="s">
        <v>150</v>
      </c>
      <c r="B25" s="98" t="s">
        <v>35</v>
      </c>
      <c r="C25" s="210" t="s">
        <v>95</v>
      </c>
      <c r="D25" s="43" t="s">
        <v>91</v>
      </c>
      <c r="E25" s="248">
        <f t="shared" si="2"/>
        <v>13190.476190476191</v>
      </c>
      <c r="F25" s="249">
        <f t="shared" si="2"/>
        <v>13857.142857142857</v>
      </c>
      <c r="G25" s="250">
        <f t="shared" si="2"/>
        <v>14547.619047619048</v>
      </c>
      <c r="H25" s="90" t="s">
        <v>149</v>
      </c>
      <c r="I25" s="165"/>
      <c r="J25" s="129"/>
      <c r="K25" s="261"/>
      <c r="L25" s="165"/>
      <c r="M25" s="241"/>
      <c r="N25" s="261"/>
      <c r="O25" s="121">
        <v>42</v>
      </c>
      <c r="P25" s="57">
        <v>42</v>
      </c>
      <c r="Q25" s="243">
        <v>42</v>
      </c>
      <c r="R25" s="251">
        <v>554</v>
      </c>
      <c r="S25" s="142">
        <v>582</v>
      </c>
      <c r="T25" s="253">
        <v>611</v>
      </c>
      <c r="U25" s="93">
        <f t="shared" si="0"/>
        <v>1747</v>
      </c>
      <c r="V25" s="145"/>
      <c r="W25" s="146"/>
      <c r="X25" s="146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</row>
    <row r="26" spans="1:50" ht="25.5" x14ac:dyDescent="0.2">
      <c r="A26" s="137" t="s">
        <v>153</v>
      </c>
      <c r="B26" s="98" t="s">
        <v>37</v>
      </c>
      <c r="C26" s="210" t="s">
        <v>96</v>
      </c>
      <c r="D26" s="43" t="s">
        <v>83</v>
      </c>
      <c r="E26" s="248">
        <f>R26*1000/L26</f>
        <v>774.41540577716648</v>
      </c>
      <c r="F26" s="249">
        <f>S26*1000/M26</f>
        <v>812.92984869325994</v>
      </c>
      <c r="G26" s="250">
        <f>T26*1000/N26</f>
        <v>853.50756533700132</v>
      </c>
      <c r="H26" s="117" t="s">
        <v>152</v>
      </c>
      <c r="I26" s="165"/>
      <c r="J26" s="129"/>
      <c r="K26" s="261"/>
      <c r="L26" s="121">
        <v>1454</v>
      </c>
      <c r="M26" s="54">
        <v>1454</v>
      </c>
      <c r="N26" s="240">
        <v>1454</v>
      </c>
      <c r="O26" s="91"/>
      <c r="P26" s="92"/>
      <c r="Q26" s="257"/>
      <c r="R26" s="251">
        <v>1126</v>
      </c>
      <c r="S26" s="142">
        <v>1182</v>
      </c>
      <c r="T26" s="252">
        <v>1241</v>
      </c>
      <c r="U26" s="93">
        <f t="shared" si="0"/>
        <v>3549</v>
      </c>
      <c r="V26" s="145"/>
      <c r="W26" s="146"/>
      <c r="X26" s="146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</row>
    <row r="27" spans="1:50" ht="27" customHeight="1" x14ac:dyDescent="0.2">
      <c r="A27" s="137" t="s">
        <v>154</v>
      </c>
      <c r="B27" s="155" t="s">
        <v>39</v>
      </c>
      <c r="C27" s="156" t="s">
        <v>185</v>
      </c>
      <c r="D27" s="43" t="s">
        <v>83</v>
      </c>
      <c r="E27" s="248">
        <f t="shared" ref="E27:G29" si="3">R27*1000/L27</f>
        <v>1200</v>
      </c>
      <c r="F27" s="249">
        <f t="shared" si="3"/>
        <v>1260</v>
      </c>
      <c r="G27" s="250">
        <f t="shared" si="3"/>
        <v>1323.2</v>
      </c>
      <c r="H27" s="157" t="s">
        <v>186</v>
      </c>
      <c r="I27" s="91"/>
      <c r="J27" s="92"/>
      <c r="K27" s="235"/>
      <c r="L27" s="262">
        <v>2500</v>
      </c>
      <c r="M27" s="263">
        <v>2500</v>
      </c>
      <c r="N27" s="264">
        <v>2500</v>
      </c>
      <c r="O27" s="91"/>
      <c r="P27" s="92"/>
      <c r="Q27" s="257"/>
      <c r="R27" s="251">
        <v>3000</v>
      </c>
      <c r="S27" s="142">
        <v>3150</v>
      </c>
      <c r="T27" s="252">
        <v>3308</v>
      </c>
      <c r="U27" s="93">
        <f t="shared" si="0"/>
        <v>9458</v>
      </c>
      <c r="V27" s="145"/>
      <c r="W27" s="146"/>
      <c r="X27" s="146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</row>
    <row r="28" spans="1:50" ht="21.75" customHeight="1" x14ac:dyDescent="0.2">
      <c r="A28" s="137" t="s">
        <v>156</v>
      </c>
      <c r="B28" s="155" t="s">
        <v>155</v>
      </c>
      <c r="C28" s="156"/>
      <c r="D28" s="43" t="s">
        <v>91</v>
      </c>
      <c r="E28" s="248">
        <f>R28*1000/O28</f>
        <v>58611.111111111109</v>
      </c>
      <c r="F28" s="248">
        <f t="shared" ref="F28:G28" si="4">S28*1000/P28</f>
        <v>61555.555555555555</v>
      </c>
      <c r="G28" s="248">
        <f t="shared" si="4"/>
        <v>64611.111111111109</v>
      </c>
      <c r="H28" s="157"/>
      <c r="I28" s="91"/>
      <c r="J28" s="92"/>
      <c r="K28" s="235"/>
      <c r="L28" s="91"/>
      <c r="M28" s="113"/>
      <c r="N28" s="235"/>
      <c r="O28" s="267">
        <v>18</v>
      </c>
      <c r="P28" s="365">
        <v>18</v>
      </c>
      <c r="Q28" s="366">
        <v>18</v>
      </c>
      <c r="R28" s="265">
        <v>1055</v>
      </c>
      <c r="S28" s="142">
        <v>1108</v>
      </c>
      <c r="T28" s="252">
        <v>1163</v>
      </c>
      <c r="U28" s="93">
        <f t="shared" si="0"/>
        <v>3326</v>
      </c>
      <c r="V28" s="145"/>
      <c r="W28" s="146"/>
      <c r="X28" s="146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</row>
    <row r="29" spans="1:50" ht="48" customHeight="1" x14ac:dyDescent="0.2">
      <c r="A29" s="137" t="s">
        <v>156</v>
      </c>
      <c r="B29" s="266" t="s">
        <v>187</v>
      </c>
      <c r="C29" s="210" t="s">
        <v>188</v>
      </c>
      <c r="D29" s="43" t="s">
        <v>83</v>
      </c>
      <c r="E29" s="248">
        <f t="shared" si="3"/>
        <v>60.216780409474104</v>
      </c>
      <c r="F29" s="249">
        <f t="shared" si="3"/>
        <v>63.227619429947815</v>
      </c>
      <c r="G29" s="250">
        <f t="shared" si="3"/>
        <v>66.338819751103969</v>
      </c>
      <c r="H29" s="117" t="s">
        <v>189</v>
      </c>
      <c r="I29" s="91"/>
      <c r="J29" s="92"/>
      <c r="K29" s="235"/>
      <c r="L29" s="267">
        <v>9964</v>
      </c>
      <c r="M29" s="263">
        <v>9964</v>
      </c>
      <c r="N29" s="264">
        <v>9964</v>
      </c>
      <c r="O29" s="91"/>
      <c r="P29" s="92"/>
      <c r="Q29" s="257"/>
      <c r="R29" s="265">
        <v>600</v>
      </c>
      <c r="S29" s="142">
        <v>630</v>
      </c>
      <c r="T29" s="252">
        <v>661</v>
      </c>
      <c r="U29" s="93">
        <f t="shared" si="0"/>
        <v>1891</v>
      </c>
      <c r="V29" s="145"/>
      <c r="W29" s="146"/>
      <c r="X29" s="146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</row>
    <row r="30" spans="1:50" ht="25.5" customHeight="1" x14ac:dyDescent="0.2">
      <c r="A30" s="159" t="s">
        <v>158</v>
      </c>
      <c r="B30" s="160" t="s">
        <v>42</v>
      </c>
      <c r="C30" s="210"/>
      <c r="D30" s="43"/>
      <c r="E30" s="268"/>
      <c r="F30" s="269"/>
      <c r="G30" s="270"/>
      <c r="H30" s="117"/>
      <c r="I30" s="91"/>
      <c r="J30" s="92"/>
      <c r="K30" s="235"/>
      <c r="L30" s="91"/>
      <c r="M30" s="113"/>
      <c r="N30" s="235"/>
      <c r="O30" s="91"/>
      <c r="P30" s="92"/>
      <c r="Q30" s="257"/>
      <c r="R30" s="227">
        <v>60852</v>
      </c>
      <c r="S30" s="95">
        <v>63895</v>
      </c>
      <c r="T30" s="271">
        <v>65324</v>
      </c>
      <c r="U30" s="93">
        <f t="shared" si="0"/>
        <v>190071</v>
      </c>
      <c r="V30" s="145"/>
      <c r="W30" s="146"/>
      <c r="X30" s="146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</row>
    <row r="31" spans="1:50" ht="26.25" customHeight="1" x14ac:dyDescent="0.2">
      <c r="A31" s="159"/>
      <c r="B31" s="160"/>
      <c r="C31" s="99" t="s">
        <v>159</v>
      </c>
      <c r="D31" s="43" t="s">
        <v>83</v>
      </c>
      <c r="E31" s="272">
        <f>R31*1000/L31</f>
        <v>54.346821398052903</v>
      </c>
      <c r="F31" s="273">
        <f>S31*1000/M31</f>
        <v>57.064539738890787</v>
      </c>
      <c r="G31" s="274">
        <f>T31*1000/N31</f>
        <v>58.252351341103854</v>
      </c>
      <c r="H31" s="103" t="s">
        <v>160</v>
      </c>
      <c r="I31" s="165"/>
      <c r="J31" s="129"/>
      <c r="K31" s="261"/>
      <c r="L31" s="167">
        <v>1060246</v>
      </c>
      <c r="M31" s="54">
        <v>1060246</v>
      </c>
      <c r="N31" s="240">
        <v>1060246</v>
      </c>
      <c r="O31" s="145"/>
      <c r="P31" s="146"/>
      <c r="Q31" s="257"/>
      <c r="R31" s="275">
        <f>R30-R33</f>
        <v>57621</v>
      </c>
      <c r="S31" s="176">
        <f t="shared" ref="S31:T31" si="5">S30-S33</f>
        <v>60502.45</v>
      </c>
      <c r="T31" s="276">
        <f t="shared" si="5"/>
        <v>61761.822500000002</v>
      </c>
      <c r="U31" s="171">
        <f t="shared" si="0"/>
        <v>179885.27249999999</v>
      </c>
      <c r="V31" s="145"/>
      <c r="W31" s="146"/>
      <c r="X31" s="146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</row>
    <row r="32" spans="1:50" ht="25.5" customHeight="1" x14ac:dyDescent="0.2">
      <c r="A32" s="159"/>
      <c r="B32" s="160"/>
      <c r="C32" s="99" t="s">
        <v>161</v>
      </c>
      <c r="D32" s="43" t="s">
        <v>99</v>
      </c>
      <c r="E32" s="272">
        <f>R32/I32</f>
        <v>539.52247191011236</v>
      </c>
      <c r="F32" s="273">
        <f>S32/J32</f>
        <v>566.50234082397003</v>
      </c>
      <c r="G32" s="274">
        <f>T32/K32</f>
        <v>578.29421816479407</v>
      </c>
      <c r="H32" s="103" t="s">
        <v>162</v>
      </c>
      <c r="I32" s="114">
        <v>106.8</v>
      </c>
      <c r="J32" s="172">
        <v>106.8</v>
      </c>
      <c r="K32" s="236">
        <v>106.8</v>
      </c>
      <c r="L32" s="174"/>
      <c r="M32" s="124"/>
      <c r="N32" s="277"/>
      <c r="O32" s="145"/>
      <c r="P32" s="146"/>
      <c r="Q32" s="257"/>
      <c r="R32" s="275">
        <f>R30-R33</f>
        <v>57621</v>
      </c>
      <c r="S32" s="176">
        <f t="shared" ref="S32:T32" si="6">S30-S33</f>
        <v>60502.45</v>
      </c>
      <c r="T32" s="276">
        <f t="shared" si="6"/>
        <v>61761.822500000002</v>
      </c>
      <c r="U32" s="171">
        <f t="shared" si="0"/>
        <v>179885.27249999999</v>
      </c>
      <c r="V32" s="145"/>
      <c r="W32" s="146"/>
      <c r="X32" s="146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</row>
    <row r="33" spans="1:50" ht="25.5" customHeight="1" x14ac:dyDescent="0.2">
      <c r="A33" s="159"/>
      <c r="B33" s="160"/>
      <c r="C33" s="99" t="s">
        <v>163</v>
      </c>
      <c r="D33" s="43" t="s">
        <v>83</v>
      </c>
      <c r="E33" s="272">
        <f>R33*1000/L33</f>
        <v>2174.2934051144011</v>
      </c>
      <c r="F33" s="273">
        <f>S33*1000/M33</f>
        <v>2283.0080753701213</v>
      </c>
      <c r="G33" s="274">
        <f>T33*1000/N33</f>
        <v>2397.1584791386276</v>
      </c>
      <c r="H33" s="103" t="s">
        <v>164</v>
      </c>
      <c r="I33" s="165"/>
      <c r="J33" s="129"/>
      <c r="K33" s="261"/>
      <c r="L33" s="121">
        <v>1486</v>
      </c>
      <c r="M33" s="54">
        <v>1486</v>
      </c>
      <c r="N33" s="240">
        <v>1486</v>
      </c>
      <c r="O33" s="145"/>
      <c r="P33" s="146"/>
      <c r="Q33" s="257"/>
      <c r="R33" s="278">
        <v>3231</v>
      </c>
      <c r="S33" s="176">
        <f>R33*1.05</f>
        <v>3392.55</v>
      </c>
      <c r="T33" s="279">
        <f>S33*1.05</f>
        <v>3562.1775000000002</v>
      </c>
      <c r="U33" s="171">
        <f t="shared" si="0"/>
        <v>10185.727500000001</v>
      </c>
      <c r="V33" s="145"/>
      <c r="W33" s="146"/>
      <c r="X33" s="146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</row>
    <row r="34" spans="1:50" ht="23.25" customHeight="1" thickBot="1" x14ac:dyDescent="0.25">
      <c r="A34" s="177"/>
      <c r="B34" s="178" t="s">
        <v>43</v>
      </c>
      <c r="C34" s="179"/>
      <c r="D34" s="180"/>
      <c r="E34" s="280"/>
      <c r="F34" s="181"/>
      <c r="G34" s="182"/>
      <c r="H34" s="183"/>
      <c r="I34" s="91"/>
      <c r="J34" s="92"/>
      <c r="K34" s="235"/>
      <c r="L34" s="91"/>
      <c r="M34" s="124"/>
      <c r="N34" s="235"/>
      <c r="O34" s="145"/>
      <c r="P34" s="146"/>
      <c r="Q34" s="147"/>
      <c r="R34" s="281">
        <f>R6+R30</f>
        <v>113703</v>
      </c>
      <c r="S34" s="185">
        <f>S6+S30</f>
        <v>118864</v>
      </c>
      <c r="T34" s="282">
        <f>T6+T30</f>
        <v>123041</v>
      </c>
      <c r="U34" s="187">
        <f t="shared" si="0"/>
        <v>355608</v>
      </c>
      <c r="V34" s="145"/>
      <c r="W34" s="146"/>
      <c r="X34" s="146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83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83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83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83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83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83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83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A1:G1"/>
    <mergeCell ref="A3:A4"/>
    <mergeCell ref="B3:B4"/>
    <mergeCell ref="C3:C4"/>
    <mergeCell ref="D3:D4"/>
    <mergeCell ref="E3:G3"/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B16" sqref="B16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16" t="s">
        <v>0</v>
      </c>
      <c r="E1" s="316"/>
    </row>
    <row r="2" spans="1:10" ht="20.25" customHeight="1" x14ac:dyDescent="0.2">
      <c r="A2" s="1"/>
      <c r="B2" s="1"/>
      <c r="C2" s="1"/>
      <c r="D2" s="198"/>
      <c r="E2" s="198"/>
    </row>
    <row r="3" spans="1:10" ht="52.5" customHeight="1" x14ac:dyDescent="0.2">
      <c r="A3" s="317" t="s">
        <v>1</v>
      </c>
      <c r="B3" s="317"/>
      <c r="C3" s="317"/>
      <c r="D3" s="317"/>
      <c r="E3" s="317"/>
      <c r="F3" s="1"/>
      <c r="G3" s="3" t="s">
        <v>2</v>
      </c>
      <c r="H3" s="1"/>
      <c r="I3" s="1"/>
      <c r="J3" s="1"/>
    </row>
    <row r="4" spans="1:10" ht="24" customHeight="1" x14ac:dyDescent="0.2">
      <c r="A4" s="318" t="s">
        <v>191</v>
      </c>
      <c r="B4" s="318"/>
      <c r="C4" s="318"/>
      <c r="D4" s="318"/>
      <c r="E4" s="318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 t="s">
        <v>3</v>
      </c>
      <c r="F5" s="1"/>
      <c r="G5" s="1"/>
      <c r="H5" s="1"/>
      <c r="I5" s="1"/>
      <c r="J5" s="1"/>
    </row>
    <row r="6" spans="1:10" ht="18" customHeight="1" x14ac:dyDescent="0.2">
      <c r="A6" s="319" t="s">
        <v>4</v>
      </c>
      <c r="B6" s="321" t="s">
        <v>5</v>
      </c>
      <c r="C6" s="321" t="s">
        <v>6</v>
      </c>
      <c r="D6" s="321" t="s">
        <v>7</v>
      </c>
      <c r="E6" s="323" t="s">
        <v>8</v>
      </c>
      <c r="F6" s="346" t="s">
        <v>9</v>
      </c>
      <c r="G6" s="1"/>
      <c r="H6" s="1"/>
      <c r="I6" s="1"/>
      <c r="J6" s="1"/>
    </row>
    <row r="7" spans="1:10" ht="27.75" customHeight="1" x14ac:dyDescent="0.2">
      <c r="A7" s="320"/>
      <c r="B7" s="322"/>
      <c r="C7" s="322"/>
      <c r="D7" s="322"/>
      <c r="E7" s="324"/>
      <c r="F7" s="346"/>
      <c r="G7" s="6" t="s">
        <v>10</v>
      </c>
      <c r="H7" s="1"/>
      <c r="I7" s="1"/>
      <c r="J7" s="1"/>
    </row>
    <row r="8" spans="1:10" ht="24.75" customHeight="1" x14ac:dyDescent="0.2">
      <c r="A8" s="199"/>
      <c r="B8" s="7" t="s">
        <v>11</v>
      </c>
      <c r="C8" s="200" t="s">
        <v>12</v>
      </c>
      <c r="D8" s="8">
        <f>SUM(D9:D13)</f>
        <v>48189</v>
      </c>
      <c r="E8" s="284">
        <f>SUM(E9:E13)</f>
        <v>48187</v>
      </c>
      <c r="F8" s="291">
        <f>E8/D8</f>
        <v>0.99995849675237092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00" t="s">
        <v>12</v>
      </c>
      <c r="D9" s="8">
        <v>15420</v>
      </c>
      <c r="E9" s="285">
        <v>15420</v>
      </c>
      <c r="F9" s="291">
        <f t="shared" ref="F9:F27" si="0">E9/D9</f>
        <v>1</v>
      </c>
      <c r="G9" s="11">
        <f>E9-D9</f>
        <v>0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00" t="s">
        <v>12</v>
      </c>
      <c r="D10" s="8">
        <v>12251</v>
      </c>
      <c r="E10" s="286">
        <v>12251</v>
      </c>
      <c r="F10" s="291">
        <f t="shared" si="0"/>
        <v>1</v>
      </c>
      <c r="G10" s="11">
        <f t="shared" ref="G10:G27" si="1">E10-D10</f>
        <v>0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00" t="s">
        <v>12</v>
      </c>
      <c r="D11" s="8">
        <v>1602</v>
      </c>
      <c r="E11" s="286">
        <v>1602</v>
      </c>
      <c r="F11" s="291">
        <f t="shared" si="0"/>
        <v>1</v>
      </c>
      <c r="G11" s="11">
        <f t="shared" si="1"/>
        <v>0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00" t="s">
        <v>12</v>
      </c>
      <c r="D12" s="8">
        <v>1000</v>
      </c>
      <c r="E12" s="285">
        <v>999</v>
      </c>
      <c r="F12" s="291">
        <f t="shared" si="0"/>
        <v>0.999</v>
      </c>
      <c r="G12" s="11">
        <f t="shared" si="1"/>
        <v>-1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00" t="s">
        <v>12</v>
      </c>
      <c r="D13" s="8">
        <f>SUM(D14:D25)</f>
        <v>17916</v>
      </c>
      <c r="E13" s="284">
        <f>SUM(E14:E25)</f>
        <v>17915</v>
      </c>
      <c r="F13" s="291">
        <f t="shared" si="0"/>
        <v>0.99994418396963602</v>
      </c>
      <c r="G13" s="11">
        <f t="shared" si="1"/>
        <v>-1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15">
        <v>1044</v>
      </c>
      <c r="E14" s="287">
        <v>1044</v>
      </c>
      <c r="F14" s="291">
        <f t="shared" si="0"/>
        <v>1</v>
      </c>
      <c r="G14" s="11">
        <f t="shared" si="1"/>
        <v>0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15">
        <v>442</v>
      </c>
      <c r="E15" s="287">
        <v>441</v>
      </c>
      <c r="F15" s="291">
        <f t="shared" si="0"/>
        <v>0.99773755656108598</v>
      </c>
      <c r="G15" s="11">
        <f t="shared" si="1"/>
        <v>-1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106</v>
      </c>
      <c r="C16" s="14"/>
      <c r="D16" s="15">
        <v>3932</v>
      </c>
      <c r="E16" s="287">
        <v>3932</v>
      </c>
      <c r="F16" s="291">
        <f t="shared" si="0"/>
        <v>1</v>
      </c>
      <c r="G16" s="11">
        <f t="shared" si="1"/>
        <v>0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15">
        <v>997</v>
      </c>
      <c r="E17" s="287">
        <v>997</v>
      </c>
      <c r="F17" s="291">
        <f t="shared" si="0"/>
        <v>1</v>
      </c>
      <c r="G17" s="11">
        <f t="shared" si="1"/>
        <v>0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27</v>
      </c>
      <c r="C18" s="14"/>
      <c r="D18" s="15">
        <v>2241</v>
      </c>
      <c r="E18" s="287">
        <v>2241</v>
      </c>
      <c r="F18" s="291">
        <f t="shared" si="0"/>
        <v>1</v>
      </c>
      <c r="G18" s="11">
        <f t="shared" si="1"/>
        <v>0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29</v>
      </c>
      <c r="C19" s="14"/>
      <c r="D19" s="15">
        <v>2462</v>
      </c>
      <c r="E19" s="287">
        <v>2462</v>
      </c>
      <c r="F19" s="291">
        <f t="shared" si="0"/>
        <v>1</v>
      </c>
      <c r="G19" s="11">
        <f t="shared" si="1"/>
        <v>0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31</v>
      </c>
      <c r="C20" s="14"/>
      <c r="D20" s="15">
        <v>1232</v>
      </c>
      <c r="E20" s="287">
        <v>1232</v>
      </c>
      <c r="F20" s="291">
        <f t="shared" si="0"/>
        <v>1</v>
      </c>
      <c r="G20" s="11">
        <f t="shared" si="1"/>
        <v>0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33</v>
      </c>
      <c r="C21" s="14"/>
      <c r="D21" s="15">
        <v>1118</v>
      </c>
      <c r="E21" s="287">
        <v>1118</v>
      </c>
      <c r="F21" s="291">
        <f t="shared" si="0"/>
        <v>1</v>
      </c>
      <c r="G21" s="11">
        <f t="shared" si="1"/>
        <v>0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35</v>
      </c>
      <c r="C22" s="14"/>
      <c r="D22" s="15">
        <v>520</v>
      </c>
      <c r="E22" s="287">
        <v>520</v>
      </c>
      <c r="F22" s="291">
        <f t="shared" si="0"/>
        <v>1</v>
      </c>
      <c r="G22" s="11">
        <f t="shared" si="1"/>
        <v>0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37</v>
      </c>
      <c r="C23" s="14"/>
      <c r="D23" s="15">
        <v>1064</v>
      </c>
      <c r="E23" s="287">
        <v>1064</v>
      </c>
      <c r="F23" s="291">
        <f t="shared" si="0"/>
        <v>1</v>
      </c>
      <c r="G23" s="11">
        <f t="shared" si="1"/>
        <v>0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15">
        <v>1864</v>
      </c>
      <c r="E24" s="287">
        <v>1864</v>
      </c>
      <c r="F24" s="291">
        <f t="shared" si="0"/>
        <v>1</v>
      </c>
      <c r="G24" s="11">
        <f t="shared" si="1"/>
        <v>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15">
        <v>1000</v>
      </c>
      <c r="E25" s="287">
        <v>1000</v>
      </c>
      <c r="F25" s="291">
        <f t="shared" si="0"/>
        <v>1</v>
      </c>
      <c r="G25" s="11">
        <f t="shared" si="1"/>
        <v>0</v>
      </c>
      <c r="H25" s="1"/>
      <c r="I25" s="1"/>
      <c r="J25" s="1"/>
    </row>
    <row r="26" spans="1:10" ht="28.5" x14ac:dyDescent="0.2">
      <c r="A26" s="9"/>
      <c r="B26" s="16" t="s">
        <v>42</v>
      </c>
      <c r="C26" s="200" t="s">
        <v>12</v>
      </c>
      <c r="D26" s="8">
        <v>56491</v>
      </c>
      <c r="E26" s="284">
        <v>56491</v>
      </c>
      <c r="F26" s="291">
        <f t="shared" si="0"/>
        <v>1</v>
      </c>
      <c r="G26" s="11">
        <f t="shared" si="1"/>
        <v>0</v>
      </c>
      <c r="H26" s="1"/>
      <c r="I26" s="1"/>
      <c r="J26" s="1"/>
    </row>
    <row r="27" spans="1:10" ht="19.5" customHeight="1" thickBot="1" x14ac:dyDescent="0.25">
      <c r="A27" s="17"/>
      <c r="B27" s="18" t="s">
        <v>43</v>
      </c>
      <c r="C27" s="19"/>
      <c r="D27" s="20">
        <f>D8+D26</f>
        <v>104680</v>
      </c>
      <c r="E27" s="288">
        <f>E8+E26</f>
        <v>104678</v>
      </c>
      <c r="F27" s="291">
        <f t="shared" si="0"/>
        <v>0.99998089415361102</v>
      </c>
      <c r="G27" s="11">
        <f t="shared" si="1"/>
        <v>-2</v>
      </c>
      <c r="H27" s="1"/>
      <c r="I27" s="1"/>
      <c r="J27" s="1"/>
    </row>
    <row r="28" spans="1:10" x14ac:dyDescent="0.2">
      <c r="A28" s="21"/>
      <c r="B28" s="21"/>
      <c r="C28" s="21"/>
      <c r="D28" s="22"/>
      <c r="E28" s="22"/>
      <c r="F28" s="5"/>
      <c r="G28" s="5"/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ht="16.5" customHeight="1" x14ac:dyDescent="0.2">
      <c r="A31" s="23" t="s">
        <v>105</v>
      </c>
      <c r="B31" s="21"/>
      <c r="C31" s="21"/>
      <c r="D31" s="22"/>
      <c r="E31" s="22"/>
      <c r="F31" s="5"/>
      <c r="G31" s="5"/>
      <c r="H31" s="1"/>
      <c r="I31" s="1"/>
      <c r="J31" s="1"/>
    </row>
    <row r="32" spans="1:10" ht="32.25" customHeight="1" x14ac:dyDescent="0.25">
      <c r="A32" s="312" t="s">
        <v>44</v>
      </c>
      <c r="B32" s="312"/>
      <c r="C32" s="205"/>
      <c r="D32" s="24" t="s">
        <v>45</v>
      </c>
      <c r="E32" s="25"/>
      <c r="F32" s="27"/>
      <c r="G32" s="1"/>
      <c r="H32" s="1"/>
      <c r="I32" s="1"/>
      <c r="J32" s="1"/>
    </row>
    <row r="33" spans="1:10" x14ac:dyDescent="0.2">
      <c r="A33" s="313" t="s">
        <v>46</v>
      </c>
      <c r="B33" s="313"/>
      <c r="C33" s="64"/>
      <c r="D33" s="209" t="s">
        <v>47</v>
      </c>
      <c r="E33" s="209" t="s">
        <v>48</v>
      </c>
      <c r="F33" s="201"/>
      <c r="G33" s="1"/>
      <c r="H33" s="1"/>
      <c r="I33" s="1"/>
      <c r="J33" s="1"/>
    </row>
    <row r="34" spans="1:10" ht="42" customHeight="1" x14ac:dyDescent="0.2">
      <c r="A34" s="28"/>
      <c r="B34" s="28"/>
      <c r="C34" s="26"/>
      <c r="D34" s="26"/>
      <c r="E34" s="26"/>
      <c r="F34" s="26"/>
      <c r="G34" s="1"/>
      <c r="H34" s="1"/>
      <c r="I34" s="1"/>
      <c r="J34" s="1"/>
    </row>
    <row r="35" spans="1:10" ht="15.75" x14ac:dyDescent="0.2">
      <c r="A35" s="314" t="s">
        <v>49</v>
      </c>
      <c r="B35" s="314"/>
      <c r="C35" s="25"/>
      <c r="D35" s="27"/>
      <c r="E35" s="26"/>
      <c r="F35" s="26"/>
      <c r="G35" s="1"/>
      <c r="H35" s="1"/>
      <c r="I35" s="1"/>
      <c r="J35" s="1"/>
    </row>
    <row r="36" spans="1:10" ht="15.75" x14ac:dyDescent="0.2">
      <c r="A36" s="315" t="s">
        <v>50</v>
      </c>
      <c r="B36" s="315"/>
      <c r="C36" s="201" t="s">
        <v>48</v>
      </c>
      <c r="D36" s="201"/>
      <c r="E36" s="26"/>
      <c r="F36" s="26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3">
    <mergeCell ref="D1:E1"/>
    <mergeCell ref="A3:E3"/>
    <mergeCell ref="A4:E4"/>
    <mergeCell ref="A6:A7"/>
    <mergeCell ref="B6:B7"/>
    <mergeCell ref="C6:C7"/>
    <mergeCell ref="D6:D7"/>
    <mergeCell ref="E6:E7"/>
    <mergeCell ref="F6:F7"/>
    <mergeCell ref="A32:B32"/>
    <mergeCell ref="A33:B33"/>
    <mergeCell ref="A35:B35"/>
    <mergeCell ref="A36:B36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topLeftCell="A8" zoomScale="110" zoomScaleNormal="110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N26" sqref="N2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29"/>
      <c r="B1" s="29"/>
      <c r="C1" s="29"/>
      <c r="D1" s="29"/>
      <c r="E1" s="29"/>
      <c r="F1" s="29"/>
      <c r="G1" s="29"/>
      <c r="H1" s="29"/>
      <c r="I1" s="30" t="s">
        <v>51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8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8" customHeight="1" x14ac:dyDescent="0.2">
      <c r="A3" s="347" t="s">
        <v>52</v>
      </c>
      <c r="B3" s="347"/>
      <c r="C3" s="347"/>
      <c r="D3" s="347"/>
      <c r="E3" s="347"/>
      <c r="F3" s="347"/>
      <c r="G3" s="347"/>
      <c r="H3" s="347"/>
      <c r="I3" s="347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16.5" customHeight="1" x14ac:dyDescent="0.2">
      <c r="A4" s="347" t="s">
        <v>53</v>
      </c>
      <c r="B4" s="347"/>
      <c r="C4" s="347"/>
      <c r="D4" s="347"/>
      <c r="E4" s="347"/>
      <c r="F4" s="347"/>
      <c r="G4" s="347"/>
      <c r="H4" s="347"/>
      <c r="I4" s="347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33.75" customHeight="1" x14ac:dyDescent="0.2">
      <c r="A5" s="347" t="s">
        <v>174</v>
      </c>
      <c r="B5" s="347"/>
      <c r="C5" s="347"/>
      <c r="D5" s="347"/>
      <c r="E5" s="347"/>
      <c r="F5" s="347"/>
      <c r="G5" s="347"/>
      <c r="H5" s="347"/>
      <c r="I5" s="347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9.5" customHeight="1" x14ac:dyDescent="0.2">
      <c r="A6" s="31"/>
      <c r="B6" s="31"/>
      <c r="C6" s="31"/>
      <c r="D6" s="31"/>
      <c r="E6" s="32"/>
      <c r="F6" s="32"/>
      <c r="G6" s="32"/>
      <c r="H6" s="32"/>
      <c r="I6" s="31"/>
      <c r="J6" s="204" t="s">
        <v>173</v>
      </c>
      <c r="K6" s="29"/>
      <c r="L6" s="348" t="s">
        <v>117</v>
      </c>
      <c r="M6" s="348"/>
      <c r="N6" s="348"/>
      <c r="O6" s="348"/>
      <c r="P6" s="348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2.25" customHeight="1" x14ac:dyDescent="0.2">
      <c r="A7" s="349" t="s">
        <v>4</v>
      </c>
      <c r="B7" s="349" t="s">
        <v>55</v>
      </c>
      <c r="C7" s="349" t="s">
        <v>56</v>
      </c>
      <c r="D7" s="349" t="s">
        <v>57</v>
      </c>
      <c r="E7" s="351" t="s">
        <v>58</v>
      </c>
      <c r="F7" s="352"/>
      <c r="G7" s="353" t="s">
        <v>59</v>
      </c>
      <c r="H7" s="354"/>
      <c r="I7" s="349" t="s">
        <v>60</v>
      </c>
      <c r="J7" s="191"/>
      <c r="K7" s="29"/>
      <c r="L7" s="33" t="s">
        <v>61</v>
      </c>
      <c r="M7" s="34" t="s">
        <v>62</v>
      </c>
      <c r="N7" s="34" t="s">
        <v>63</v>
      </c>
      <c r="O7" s="355" t="s">
        <v>64</v>
      </c>
      <c r="P7" s="356"/>
      <c r="Q7" s="34" t="s">
        <v>65</v>
      </c>
      <c r="R7" s="193"/>
      <c r="S7" s="35"/>
      <c r="T7" s="35"/>
      <c r="U7" s="35"/>
      <c r="V7" s="35"/>
      <c r="W7" s="35"/>
      <c r="X7" s="36"/>
      <c r="Y7" s="29"/>
      <c r="Z7" s="29"/>
      <c r="AA7" s="29"/>
      <c r="AB7" s="29"/>
      <c r="AC7" s="29"/>
      <c r="AD7" s="29"/>
      <c r="AE7" s="29"/>
      <c r="AF7" s="29"/>
    </row>
    <row r="8" spans="1:32" ht="32.25" customHeight="1" x14ac:dyDescent="0.2">
      <c r="A8" s="350"/>
      <c r="B8" s="350"/>
      <c r="C8" s="350"/>
      <c r="D8" s="350"/>
      <c r="E8" s="202" t="s">
        <v>66</v>
      </c>
      <c r="F8" s="38" t="s">
        <v>67</v>
      </c>
      <c r="G8" s="202" t="s">
        <v>68</v>
      </c>
      <c r="H8" s="39" t="s">
        <v>67</v>
      </c>
      <c r="I8" s="350"/>
      <c r="J8" s="191"/>
      <c r="K8" s="29"/>
      <c r="L8" s="33"/>
      <c r="M8" s="33"/>
      <c r="N8" s="33"/>
      <c r="O8" s="40" t="s">
        <v>168</v>
      </c>
      <c r="P8" s="40" t="s">
        <v>175</v>
      </c>
      <c r="Q8" s="41">
        <v>33539</v>
      </c>
      <c r="R8" s="195" t="s">
        <v>169</v>
      </c>
      <c r="S8" s="35"/>
      <c r="T8" s="35"/>
      <c r="U8" s="35"/>
      <c r="V8" s="35"/>
      <c r="W8" s="35"/>
      <c r="X8" s="36"/>
      <c r="Y8" s="29"/>
      <c r="Z8" s="29"/>
      <c r="AA8" s="29"/>
      <c r="AB8" s="29"/>
      <c r="AC8" s="29"/>
      <c r="AD8" s="29"/>
      <c r="AE8" s="29"/>
      <c r="AF8" s="29"/>
    </row>
    <row r="9" spans="1:32" ht="12.75" customHeight="1" x14ac:dyDescent="0.2">
      <c r="A9" s="202">
        <v>1</v>
      </c>
      <c r="B9" s="202">
        <v>2</v>
      </c>
      <c r="C9" s="202">
        <v>3</v>
      </c>
      <c r="D9" s="202">
        <v>4</v>
      </c>
      <c r="E9" s="202">
        <v>5</v>
      </c>
      <c r="F9" s="202">
        <v>6</v>
      </c>
      <c r="G9" s="202">
        <v>7</v>
      </c>
      <c r="H9" s="39">
        <v>8</v>
      </c>
      <c r="I9" s="202" t="s">
        <v>69</v>
      </c>
      <c r="J9" s="191"/>
      <c r="K9" s="29"/>
      <c r="L9" s="34">
        <v>10</v>
      </c>
      <c r="M9" s="34">
        <v>11</v>
      </c>
      <c r="N9" s="34">
        <v>12</v>
      </c>
      <c r="O9" s="41">
        <v>13</v>
      </c>
      <c r="P9" s="41">
        <v>14</v>
      </c>
      <c r="Q9" s="41">
        <v>15</v>
      </c>
      <c r="R9" s="196">
        <v>16</v>
      </c>
      <c r="S9" s="35"/>
      <c r="T9" s="35"/>
      <c r="U9" s="35"/>
      <c r="V9" s="35"/>
      <c r="W9" s="35"/>
      <c r="X9" s="36"/>
      <c r="Y9" s="29"/>
      <c r="Z9" s="29"/>
      <c r="AA9" s="29"/>
      <c r="AB9" s="29"/>
      <c r="AC9" s="29"/>
      <c r="AD9" s="29"/>
      <c r="AE9" s="29"/>
      <c r="AF9" s="29"/>
    </row>
    <row r="10" spans="1:32" ht="25.5" customHeight="1" x14ac:dyDescent="0.2">
      <c r="A10" s="202">
        <v>1</v>
      </c>
      <c r="B10" s="42" t="s">
        <v>70</v>
      </c>
      <c r="C10" s="43" t="s">
        <v>71</v>
      </c>
      <c r="D10" s="44">
        <v>105.41</v>
      </c>
      <c r="E10" s="44">
        <f>F10</f>
        <v>150.73535444770286</v>
      </c>
      <c r="F10" s="45">
        <f>O10/N10/1000</f>
        <v>150.73535444770286</v>
      </c>
      <c r="G10" s="44">
        <f>(D10+O10/1000/N10+R10)/3</f>
        <v>126.27178481590096</v>
      </c>
      <c r="H10" s="46">
        <f>P10/1000/N10</f>
        <v>150.73535444770283</v>
      </c>
      <c r="I10" s="47">
        <f>H10/F10</f>
        <v>0.99999999999999978</v>
      </c>
      <c r="J10" s="191"/>
      <c r="K10" s="29"/>
      <c r="L10" s="48"/>
      <c r="M10" s="48"/>
      <c r="N10" s="49">
        <v>102.3</v>
      </c>
      <c r="O10" s="49">
        <v>15420226.76</v>
      </c>
      <c r="P10" s="217">
        <v>15420226.76</v>
      </c>
      <c r="Q10" s="48"/>
      <c r="R10" s="194">
        <v>122.67</v>
      </c>
      <c r="S10" s="216" t="s">
        <v>176</v>
      </c>
      <c r="T10" s="35"/>
      <c r="U10" s="35"/>
      <c r="V10" s="35"/>
      <c r="W10" s="35"/>
      <c r="X10" s="36"/>
      <c r="Y10" s="29"/>
      <c r="Z10" s="29"/>
      <c r="AA10" s="29"/>
      <c r="AB10" s="29"/>
      <c r="AC10" s="29"/>
      <c r="AD10" s="29"/>
      <c r="AE10" s="29"/>
      <c r="AF10" s="29"/>
    </row>
    <row r="11" spans="1:32" ht="24" customHeight="1" x14ac:dyDescent="0.2">
      <c r="A11" s="202">
        <v>2</v>
      </c>
      <c r="B11" s="42" t="s">
        <v>72</v>
      </c>
      <c r="C11" s="43" t="s">
        <v>73</v>
      </c>
      <c r="D11" s="44">
        <v>0.1</v>
      </c>
      <c r="E11" s="44">
        <f t="shared" ref="E11:E31" si="0">F11</f>
        <v>0.1035498727080294</v>
      </c>
      <c r="F11" s="45">
        <f>L11/Q11</f>
        <v>0.1035498727080294</v>
      </c>
      <c r="G11" s="44">
        <f>(D11+H11+R11)/3</f>
        <v>0.10451662423600981</v>
      </c>
      <c r="H11" s="46">
        <f>L11/Q11</f>
        <v>0.1035498727080294</v>
      </c>
      <c r="I11" s="47">
        <f t="shared" ref="I11:I31" si="1">H11/F11</f>
        <v>1</v>
      </c>
      <c r="J11" s="191"/>
      <c r="K11" s="29"/>
      <c r="L11" s="48">
        <v>3620</v>
      </c>
      <c r="M11" s="48"/>
      <c r="N11" s="49"/>
      <c r="O11" s="49"/>
      <c r="P11" s="217"/>
      <c r="Q11" s="48">
        <v>34959</v>
      </c>
      <c r="R11" s="194">
        <v>0.11</v>
      </c>
      <c r="S11" s="35"/>
      <c r="T11" s="36"/>
      <c r="U11" s="36"/>
      <c r="V11" s="36"/>
      <c r="W11" s="36"/>
      <c r="X11" s="36"/>
      <c r="Y11" s="29"/>
      <c r="Z11" s="29"/>
      <c r="AA11" s="29"/>
      <c r="AB11" s="29"/>
      <c r="AC11" s="29"/>
      <c r="AD11" s="29"/>
      <c r="AE11" s="29"/>
      <c r="AF11" s="29"/>
    </row>
    <row r="12" spans="1:32" ht="24" customHeight="1" x14ac:dyDescent="0.2">
      <c r="A12" s="202">
        <v>3</v>
      </c>
      <c r="B12" s="42" t="s">
        <v>74</v>
      </c>
      <c r="C12" s="43" t="s">
        <v>75</v>
      </c>
      <c r="D12" s="44">
        <v>3.63</v>
      </c>
      <c r="E12" s="44">
        <f t="shared" si="0"/>
        <v>2.9262850768042559</v>
      </c>
      <c r="F12" s="45">
        <f>N12/Q12</f>
        <v>2.9262850768042559</v>
      </c>
      <c r="G12" s="44">
        <f>(D12+H12+R12)/3</f>
        <v>3.3620950256014184</v>
      </c>
      <c r="H12" s="46">
        <f>N12/Q12</f>
        <v>2.9262850768042559</v>
      </c>
      <c r="I12" s="47">
        <f t="shared" si="1"/>
        <v>1</v>
      </c>
      <c r="J12" s="191"/>
      <c r="K12" s="29"/>
      <c r="L12" s="48"/>
      <c r="M12" s="48"/>
      <c r="N12" s="49">
        <v>102.3</v>
      </c>
      <c r="O12" s="49"/>
      <c r="P12" s="217"/>
      <c r="Q12" s="50">
        <v>34.959000000000003</v>
      </c>
      <c r="R12" s="194">
        <v>3.53</v>
      </c>
      <c r="S12" s="51"/>
      <c r="T12" s="51"/>
      <c r="U12" s="51"/>
      <c r="V12" s="52"/>
      <c r="W12" s="52"/>
      <c r="X12" s="52"/>
      <c r="Y12" s="29"/>
      <c r="Z12" s="29"/>
      <c r="AA12" s="29"/>
      <c r="AB12" s="29"/>
      <c r="AC12" s="29"/>
      <c r="AD12" s="29"/>
      <c r="AE12" s="29"/>
      <c r="AF12" s="29"/>
    </row>
    <row r="13" spans="1:32" ht="21" customHeight="1" x14ac:dyDescent="0.2">
      <c r="A13" s="202">
        <v>4</v>
      </c>
      <c r="B13" s="42" t="s">
        <v>76</v>
      </c>
      <c r="C13" s="43" t="s">
        <v>77</v>
      </c>
      <c r="D13" s="44">
        <v>7.12</v>
      </c>
      <c r="E13" s="44">
        <f t="shared" si="0"/>
        <v>7.4535598844360536</v>
      </c>
      <c r="F13" s="45">
        <f>M13/Q13</f>
        <v>7.4535598844360536</v>
      </c>
      <c r="G13" s="44">
        <f t="shared" ref="G13:G31" si="2">(D13+H13+R13)/3</f>
        <v>7.3678532948120186</v>
      </c>
      <c r="H13" s="46">
        <f>M13/Q13</f>
        <v>7.4535598844360536</v>
      </c>
      <c r="I13" s="47">
        <f t="shared" si="1"/>
        <v>1</v>
      </c>
      <c r="J13" s="191"/>
      <c r="K13" s="29"/>
      <c r="L13" s="48"/>
      <c r="M13" s="53">
        <f>118363+140706+1500</f>
        <v>260569</v>
      </c>
      <c r="N13" s="49"/>
      <c r="O13" s="49"/>
      <c r="P13" s="217"/>
      <c r="Q13" s="48">
        <v>34959</v>
      </c>
      <c r="R13" s="194">
        <v>7.53</v>
      </c>
      <c r="S13" s="51"/>
      <c r="T13" s="51"/>
      <c r="U13" s="51"/>
      <c r="V13" s="52"/>
      <c r="W13" s="52"/>
      <c r="X13" s="52"/>
      <c r="Y13" s="29"/>
      <c r="Z13" s="29"/>
      <c r="AA13" s="29"/>
      <c r="AB13" s="29"/>
      <c r="AC13" s="29"/>
      <c r="AD13" s="29"/>
      <c r="AE13" s="29"/>
      <c r="AF13" s="29"/>
    </row>
    <row r="14" spans="1:32" ht="18.75" customHeight="1" x14ac:dyDescent="0.2">
      <c r="A14" s="202">
        <v>5</v>
      </c>
      <c r="B14" s="42" t="s">
        <v>78</v>
      </c>
      <c r="C14" s="43" t="s">
        <v>73</v>
      </c>
      <c r="D14" s="44">
        <v>5.39</v>
      </c>
      <c r="E14" s="44">
        <f t="shared" si="0"/>
        <v>5.4349380703109356</v>
      </c>
      <c r="F14" s="45">
        <f>L14/Q14</f>
        <v>5.4349380703109356</v>
      </c>
      <c r="G14" s="44">
        <f t="shared" si="2"/>
        <v>5.4749793567703122</v>
      </c>
      <c r="H14" s="46">
        <f>L14/Q14</f>
        <v>5.4349380703109356</v>
      </c>
      <c r="I14" s="47">
        <f t="shared" si="1"/>
        <v>1</v>
      </c>
      <c r="J14" s="191"/>
      <c r="K14" s="29"/>
      <c r="L14" s="54">
        <v>190000</v>
      </c>
      <c r="M14" s="55"/>
      <c r="N14" s="56"/>
      <c r="O14" s="56"/>
      <c r="P14" s="218"/>
      <c r="Q14" s="48">
        <v>34959</v>
      </c>
      <c r="R14" s="194">
        <v>5.6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ht="24.75" customHeight="1" x14ac:dyDescent="0.2">
      <c r="A15" s="202">
        <v>6</v>
      </c>
      <c r="B15" s="42" t="s">
        <v>79</v>
      </c>
      <c r="C15" s="43" t="s">
        <v>80</v>
      </c>
      <c r="D15" s="44">
        <v>0.28000000000000003</v>
      </c>
      <c r="E15" s="44">
        <f t="shared" si="0"/>
        <v>0.27600903916015906</v>
      </c>
      <c r="F15" s="45">
        <f t="shared" ref="F15:F16" si="3">H15</f>
        <v>0.27600903916015906</v>
      </c>
      <c r="G15" s="44">
        <f t="shared" si="2"/>
        <v>0.1853363463867197</v>
      </c>
      <c r="H15" s="46">
        <f>M15/Q15</f>
        <v>0.27600903916015906</v>
      </c>
      <c r="I15" s="47">
        <f t="shared" si="1"/>
        <v>1</v>
      </c>
      <c r="J15" s="191"/>
      <c r="K15" s="29"/>
      <c r="L15" s="121"/>
      <c r="M15" s="121">
        <v>9649</v>
      </c>
      <c r="N15" s="56"/>
      <c r="O15" s="56"/>
      <c r="P15" s="218"/>
      <c r="Q15" s="48">
        <v>34959</v>
      </c>
      <c r="R15" s="194">
        <v>0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21" customHeight="1" x14ac:dyDescent="0.2">
      <c r="A16" s="202">
        <v>7</v>
      </c>
      <c r="B16" s="42" t="s">
        <v>81</v>
      </c>
      <c r="C16" s="43" t="s">
        <v>73</v>
      </c>
      <c r="D16" s="44">
        <v>0.3</v>
      </c>
      <c r="E16" s="44">
        <f t="shared" si="0"/>
        <v>0.62930861866758203</v>
      </c>
      <c r="F16" s="45">
        <f t="shared" si="3"/>
        <v>0.62930861866758203</v>
      </c>
      <c r="G16" s="44">
        <f t="shared" si="2"/>
        <v>0.30976953955586067</v>
      </c>
      <c r="H16" s="46">
        <f>L16/Q16</f>
        <v>0.62930861866758203</v>
      </c>
      <c r="I16" s="47">
        <f t="shared" si="1"/>
        <v>1</v>
      </c>
      <c r="J16" s="191"/>
      <c r="K16" s="29"/>
      <c r="L16" s="121">
        <v>22000</v>
      </c>
      <c r="M16" s="55"/>
      <c r="N16" s="56"/>
      <c r="O16" s="56"/>
      <c r="P16" s="218"/>
      <c r="Q16" s="48">
        <v>34959</v>
      </c>
      <c r="R16" s="194"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ht="18.75" customHeight="1" x14ac:dyDescent="0.2">
      <c r="A17" s="202">
        <v>8</v>
      </c>
      <c r="B17" s="42" t="s">
        <v>82</v>
      </c>
      <c r="C17" s="43" t="s">
        <v>83</v>
      </c>
      <c r="D17" s="44">
        <v>7.26</v>
      </c>
      <c r="E17" s="44">
        <f t="shared" si="0"/>
        <v>8.1967213114754092</v>
      </c>
      <c r="F17" s="45">
        <f>O17/M17</f>
        <v>8.1967213114754092</v>
      </c>
      <c r="G17" s="44">
        <f t="shared" si="2"/>
        <v>7.5066987704918029</v>
      </c>
      <c r="H17" s="46">
        <f>P17/M17</f>
        <v>8.1900963114754095</v>
      </c>
      <c r="I17" s="47">
        <f t="shared" si="1"/>
        <v>0.99919175000000005</v>
      </c>
      <c r="J17" s="191"/>
      <c r="K17" s="29"/>
      <c r="L17" s="55"/>
      <c r="M17" s="55">
        <f>12.2*10000</f>
        <v>122000</v>
      </c>
      <c r="N17" s="56"/>
      <c r="O17" s="56">
        <v>1000000</v>
      </c>
      <c r="P17" s="218">
        <v>999191.75</v>
      </c>
      <c r="Q17" s="55"/>
      <c r="R17" s="194">
        <v>7.07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22.5" customHeight="1" x14ac:dyDescent="0.2">
      <c r="A18" s="202">
        <v>9</v>
      </c>
      <c r="B18" s="42" t="s">
        <v>84</v>
      </c>
      <c r="C18" s="43" t="s">
        <v>83</v>
      </c>
      <c r="D18" s="44">
        <v>126.62</v>
      </c>
      <c r="E18" s="44">
        <f t="shared" si="0"/>
        <v>169.44437824675325</v>
      </c>
      <c r="F18" s="45">
        <f>O18/M18</f>
        <v>169.44437824675325</v>
      </c>
      <c r="G18" s="44">
        <f t="shared" si="2"/>
        <v>147.38810443722946</v>
      </c>
      <c r="H18" s="46">
        <f>P18/M18</f>
        <v>169.44431331168832</v>
      </c>
      <c r="I18" s="47">
        <f t="shared" si="1"/>
        <v>0.99999961677651628</v>
      </c>
      <c r="J18" s="191"/>
      <c r="K18" s="29"/>
      <c r="L18" s="55"/>
      <c r="M18" s="55">
        <v>6160</v>
      </c>
      <c r="N18" s="56"/>
      <c r="O18" s="56">
        <v>1043777.37</v>
      </c>
      <c r="P18" s="218">
        <v>1043776.97</v>
      </c>
      <c r="Q18" s="55"/>
      <c r="R18" s="194">
        <v>146.1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22.5" customHeight="1" x14ac:dyDescent="0.2">
      <c r="A19" s="202">
        <v>10</v>
      </c>
      <c r="B19" s="42" t="s">
        <v>85</v>
      </c>
      <c r="C19" s="43" t="s">
        <v>83</v>
      </c>
      <c r="D19" s="44">
        <v>846.47</v>
      </c>
      <c r="E19" s="44">
        <f t="shared" si="0"/>
        <v>1168.4267724867725</v>
      </c>
      <c r="F19" s="45">
        <f>O19/M19</f>
        <v>1168.4267724867725</v>
      </c>
      <c r="G19" s="44">
        <f t="shared" si="2"/>
        <v>965.61939153439153</v>
      </c>
      <c r="H19" s="46">
        <f>P19/M19</f>
        <v>1166.7881746031746</v>
      </c>
      <c r="I19" s="47">
        <f t="shared" si="1"/>
        <v>0.99859760327118285</v>
      </c>
      <c r="J19" s="191"/>
      <c r="K19" s="29"/>
      <c r="L19" s="55"/>
      <c r="M19" s="55">
        <f>320+58</f>
        <v>378</v>
      </c>
      <c r="N19" s="56"/>
      <c r="O19" s="56">
        <v>441665.32</v>
      </c>
      <c r="P19" s="218">
        <v>441045.93</v>
      </c>
      <c r="Q19" s="55"/>
      <c r="R19" s="194">
        <v>883.6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22.5" customHeight="1" x14ac:dyDescent="0.2">
      <c r="A20" s="202">
        <v>11</v>
      </c>
      <c r="B20" s="42" t="s">
        <v>86</v>
      </c>
      <c r="C20" s="43" t="s">
        <v>83</v>
      </c>
      <c r="D20" s="44">
        <v>215.32</v>
      </c>
      <c r="E20" s="44">
        <f t="shared" si="0"/>
        <v>157.24300852964581</v>
      </c>
      <c r="F20" s="45">
        <f>O20/M20</f>
        <v>157.24300852964581</v>
      </c>
      <c r="G20" s="44">
        <f t="shared" si="2"/>
        <v>184.7910028432153</v>
      </c>
      <c r="H20" s="46">
        <f>P20/M20</f>
        <v>157.24300852964581</v>
      </c>
      <c r="I20" s="47">
        <f t="shared" si="1"/>
        <v>1</v>
      </c>
      <c r="J20" s="191"/>
      <c r="K20" s="29"/>
      <c r="L20" s="55"/>
      <c r="M20" s="57">
        <f>13765+188.9+11053</f>
        <v>25006.9</v>
      </c>
      <c r="N20" s="56"/>
      <c r="O20" s="56">
        <v>3932160.19</v>
      </c>
      <c r="P20" s="218">
        <v>3932160.19</v>
      </c>
      <c r="Q20" s="55"/>
      <c r="R20" s="194">
        <v>181.81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28.5" customHeight="1" x14ac:dyDescent="0.2">
      <c r="A21" s="202">
        <v>12</v>
      </c>
      <c r="B21" s="42" t="s">
        <v>87</v>
      </c>
      <c r="C21" s="43" t="s">
        <v>83</v>
      </c>
      <c r="D21" s="44">
        <v>67.64</v>
      </c>
      <c r="E21" s="44">
        <f t="shared" si="0"/>
        <v>69.258547222222219</v>
      </c>
      <c r="F21" s="45">
        <f>O21/M21</f>
        <v>69.258547222222219</v>
      </c>
      <c r="G21" s="44">
        <f t="shared" si="2"/>
        <v>68.236182407407412</v>
      </c>
      <c r="H21" s="46">
        <f>P21/M21</f>
        <v>69.258547222222219</v>
      </c>
      <c r="I21" s="47">
        <f t="shared" si="1"/>
        <v>1</v>
      </c>
      <c r="J21" s="191"/>
      <c r="K21" s="29"/>
      <c r="L21" s="55"/>
      <c r="M21" s="55">
        <v>14400</v>
      </c>
      <c r="N21" s="56"/>
      <c r="O21" s="56">
        <v>997323.08</v>
      </c>
      <c r="P21" s="218">
        <v>997323.08</v>
      </c>
      <c r="Q21" s="55"/>
      <c r="R21" s="194">
        <v>67.81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21" customHeight="1" x14ac:dyDescent="0.2">
      <c r="A22" s="202">
        <v>13</v>
      </c>
      <c r="B22" s="42" t="s">
        <v>88</v>
      </c>
      <c r="C22" s="43" t="s">
        <v>89</v>
      </c>
      <c r="D22" s="44">
        <v>2716.75</v>
      </c>
      <c r="E22" s="44">
        <f t="shared" si="0"/>
        <v>3124.9021896792192</v>
      </c>
      <c r="F22" s="45">
        <f>O22/L22</f>
        <v>3124.9021896792192</v>
      </c>
      <c r="G22" s="44">
        <f t="shared" si="2"/>
        <v>2808.5225657336723</v>
      </c>
      <c r="H22" s="46">
        <f>P22/J22</f>
        <v>2850.5776972010176</v>
      </c>
      <c r="I22" s="47">
        <f t="shared" si="1"/>
        <v>0.91221341474807505</v>
      </c>
      <c r="J22" s="197">
        <f>565+221</f>
        <v>786</v>
      </c>
      <c r="K22" s="29" t="s">
        <v>167</v>
      </c>
      <c r="L22" s="189">
        <v>717</v>
      </c>
      <c r="M22" s="55"/>
      <c r="N22" s="56"/>
      <c r="O22" s="56">
        <v>2240554.87</v>
      </c>
      <c r="P22" s="218">
        <v>2240554.0699999998</v>
      </c>
      <c r="Q22" s="55"/>
      <c r="R22" s="194">
        <v>2858.24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ht="22.5" customHeight="1" x14ac:dyDescent="0.2">
      <c r="A23" s="202">
        <v>14</v>
      </c>
      <c r="B23" s="42" t="s">
        <v>90</v>
      </c>
      <c r="C23" s="43" t="s">
        <v>91</v>
      </c>
      <c r="D23" s="44">
        <v>30000</v>
      </c>
      <c r="E23" s="44">
        <f t="shared" si="0"/>
        <v>35684.57043478261</v>
      </c>
      <c r="F23" s="45">
        <f>O23/L23</f>
        <v>35684.57043478261</v>
      </c>
      <c r="G23" s="44">
        <f t="shared" si="2"/>
        <v>31259.64347826087</v>
      </c>
      <c r="H23" s="46">
        <f>P23/L23</f>
        <v>35684.57043478261</v>
      </c>
      <c r="I23" s="47">
        <f t="shared" si="1"/>
        <v>1</v>
      </c>
      <c r="J23" s="191"/>
      <c r="K23" s="29"/>
      <c r="L23" s="55">
        <v>69</v>
      </c>
      <c r="M23" s="55"/>
      <c r="N23" s="56"/>
      <c r="O23" s="56">
        <v>2462235.36</v>
      </c>
      <c r="P23" s="218">
        <v>2462235.36</v>
      </c>
      <c r="Q23" s="55"/>
      <c r="R23" s="194">
        <v>28094.36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21.75" customHeight="1" x14ac:dyDescent="0.2">
      <c r="A24" s="202">
        <v>15</v>
      </c>
      <c r="B24" s="42" t="s">
        <v>92</v>
      </c>
      <c r="C24" s="43" t="s">
        <v>91</v>
      </c>
      <c r="D24" s="44">
        <v>17846.150000000001</v>
      </c>
      <c r="E24" s="44">
        <f t="shared" si="0"/>
        <v>18271.130769230771</v>
      </c>
      <c r="F24" s="45">
        <f>O24/L24</f>
        <v>18271.130769230771</v>
      </c>
      <c r="G24" s="44">
        <f t="shared" si="2"/>
        <v>18244.220256410259</v>
      </c>
      <c r="H24" s="46">
        <f t="shared" ref="H24:H27" si="4">P24/L24</f>
        <v>18271.130769230771</v>
      </c>
      <c r="I24" s="47">
        <f t="shared" si="1"/>
        <v>1</v>
      </c>
      <c r="J24" s="191"/>
      <c r="K24" s="29"/>
      <c r="L24" s="55">
        <v>13</v>
      </c>
      <c r="M24" s="55"/>
      <c r="N24" s="56"/>
      <c r="O24" s="56">
        <v>237524.7</v>
      </c>
      <c r="P24" s="218">
        <v>237524.7</v>
      </c>
      <c r="Q24" s="55"/>
      <c r="R24" s="194">
        <v>18615.38</v>
      </c>
      <c r="S24" s="58">
        <f>O24+O25</f>
        <v>1232307.74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22.5" customHeight="1" x14ac:dyDescent="0.2">
      <c r="A25" s="202">
        <v>16</v>
      </c>
      <c r="B25" s="42" t="s">
        <v>93</v>
      </c>
      <c r="C25" s="43" t="s">
        <v>91</v>
      </c>
      <c r="D25" s="44"/>
      <c r="E25" s="44">
        <f t="shared" si="0"/>
        <v>3527.5994326241134</v>
      </c>
      <c r="F25" s="45">
        <f t="shared" ref="F25:F27" si="5">O25/L25</f>
        <v>3527.5994326241134</v>
      </c>
      <c r="G25" s="44">
        <f t="shared" si="2"/>
        <v>2355.5364775413714</v>
      </c>
      <c r="H25" s="46">
        <f t="shared" si="4"/>
        <v>3527.5994326241134</v>
      </c>
      <c r="I25" s="47">
        <f t="shared" si="1"/>
        <v>1</v>
      </c>
      <c r="J25" s="191"/>
      <c r="K25" s="29"/>
      <c r="L25" s="55">
        <v>282</v>
      </c>
      <c r="M25" s="55"/>
      <c r="N25" s="56"/>
      <c r="O25" s="56">
        <v>994783.04</v>
      </c>
      <c r="P25" s="218">
        <v>994783.04</v>
      </c>
      <c r="Q25" s="55"/>
      <c r="R25" s="194">
        <v>3539.01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23.25" customHeight="1" x14ac:dyDescent="0.2">
      <c r="A26" s="202">
        <v>17</v>
      </c>
      <c r="B26" s="42" t="s">
        <v>94</v>
      </c>
      <c r="C26" s="43" t="s">
        <v>91</v>
      </c>
      <c r="D26" s="44">
        <v>7817.86</v>
      </c>
      <c r="E26" s="44">
        <f t="shared" si="0"/>
        <v>7357.2701973684216</v>
      </c>
      <c r="F26" s="45">
        <f t="shared" si="5"/>
        <v>7357.2701973684216</v>
      </c>
      <c r="G26" s="44">
        <f t="shared" si="2"/>
        <v>7578.6867324561399</v>
      </c>
      <c r="H26" s="46">
        <f t="shared" si="4"/>
        <v>7357.2701973684216</v>
      </c>
      <c r="I26" s="47">
        <f t="shared" si="1"/>
        <v>1</v>
      </c>
      <c r="J26" s="191"/>
      <c r="K26" s="29"/>
      <c r="L26" s="57">
        <v>152</v>
      </c>
      <c r="M26" s="55"/>
      <c r="N26" s="56"/>
      <c r="O26" s="56">
        <v>1118305.07</v>
      </c>
      <c r="P26" s="218">
        <v>1118305.07</v>
      </c>
      <c r="Q26" s="55"/>
      <c r="R26" s="194">
        <v>7560.93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ht="25.5" customHeight="1" x14ac:dyDescent="0.2">
      <c r="A27" s="202">
        <v>18</v>
      </c>
      <c r="B27" s="42" t="s">
        <v>95</v>
      </c>
      <c r="C27" s="43" t="s">
        <v>91</v>
      </c>
      <c r="D27" s="44">
        <v>11667.42</v>
      </c>
      <c r="E27" s="44">
        <f t="shared" si="0"/>
        <v>13329.18641025641</v>
      </c>
      <c r="F27" s="45">
        <f t="shared" si="5"/>
        <v>13329.18641025641</v>
      </c>
      <c r="G27" s="44">
        <f t="shared" si="2"/>
        <v>11728.598803418805</v>
      </c>
      <c r="H27" s="46">
        <f t="shared" si="4"/>
        <v>13329.18641025641</v>
      </c>
      <c r="I27" s="47">
        <f t="shared" si="1"/>
        <v>1</v>
      </c>
      <c r="J27" s="197">
        <v>39</v>
      </c>
      <c r="K27" s="29" t="s">
        <v>167</v>
      </c>
      <c r="L27" s="57">
        <v>39</v>
      </c>
      <c r="M27" s="55"/>
      <c r="N27" s="56"/>
      <c r="O27" s="56">
        <v>519838.27</v>
      </c>
      <c r="P27" s="218">
        <v>519838.27</v>
      </c>
      <c r="Q27" s="55"/>
      <c r="R27" s="194">
        <v>10189.19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ht="21.75" customHeight="1" x14ac:dyDescent="0.2">
      <c r="A28" s="202">
        <v>19</v>
      </c>
      <c r="B28" s="42" t="s">
        <v>96</v>
      </c>
      <c r="C28" s="43" t="s">
        <v>83</v>
      </c>
      <c r="D28" s="44">
        <v>762.03</v>
      </c>
      <c r="E28" s="44">
        <f t="shared" si="0"/>
        <v>731.79753094910598</v>
      </c>
      <c r="F28" s="45">
        <f>O28/M28</f>
        <v>731.79753094910598</v>
      </c>
      <c r="G28" s="44">
        <f t="shared" si="2"/>
        <v>742.55584364970207</v>
      </c>
      <c r="H28" s="46">
        <f>P28/M28</f>
        <v>731.79753094910598</v>
      </c>
      <c r="I28" s="47">
        <f t="shared" si="1"/>
        <v>1</v>
      </c>
      <c r="J28" s="191"/>
      <c r="K28" s="29"/>
      <c r="L28" s="55"/>
      <c r="M28" s="55">
        <v>1454</v>
      </c>
      <c r="N28" s="56"/>
      <c r="O28" s="56">
        <v>1064033.6100000001</v>
      </c>
      <c r="P28" s="218">
        <v>1064033.6100000001</v>
      </c>
      <c r="Q28" s="55"/>
      <c r="R28" s="194">
        <v>733.84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21.75" customHeight="1" x14ac:dyDescent="0.2">
      <c r="A29" s="202">
        <v>20</v>
      </c>
      <c r="B29" s="42" t="s">
        <v>97</v>
      </c>
      <c r="C29" s="43" t="s">
        <v>83</v>
      </c>
      <c r="D29" s="44">
        <v>43</v>
      </c>
      <c r="E29" s="44">
        <f t="shared" si="0"/>
        <v>48.898559117539357</v>
      </c>
      <c r="F29" s="45">
        <f>O30/M29</f>
        <v>48.898559117539357</v>
      </c>
      <c r="G29" s="44">
        <f t="shared" si="2"/>
        <v>47.449436009398276</v>
      </c>
      <c r="H29" s="46">
        <f>P30/M29</f>
        <v>48.898308028194798</v>
      </c>
      <c r="I29" s="47">
        <f t="shared" si="1"/>
        <v>0.99999486509727298</v>
      </c>
      <c r="J29" s="191"/>
      <c r="K29" s="29"/>
      <c r="L29" s="55"/>
      <c r="M29" s="190">
        <v>1092400</v>
      </c>
      <c r="N29" s="56"/>
      <c r="O29" s="56">
        <f>56490785.98-3074000</f>
        <v>53416785.979999997</v>
      </c>
      <c r="P29" s="218">
        <f>56490511.69-P31</f>
        <v>53416511.689999998</v>
      </c>
      <c r="Q29" s="55"/>
      <c r="R29" s="194">
        <v>50.45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ht="21.75" customHeight="1" x14ac:dyDescent="0.2">
      <c r="A30" s="202">
        <v>21</v>
      </c>
      <c r="B30" s="42" t="s">
        <v>98</v>
      </c>
      <c r="C30" s="43" t="s">
        <v>99</v>
      </c>
      <c r="D30" s="44">
        <v>287.89999999999998</v>
      </c>
      <c r="E30" s="44">
        <f t="shared" si="0"/>
        <v>500.15717209737824</v>
      </c>
      <c r="F30" s="45">
        <f>O30/N30/1000</f>
        <v>500.15717209737824</v>
      </c>
      <c r="G30" s="44">
        <f t="shared" si="2"/>
        <v>384.47820127965042</v>
      </c>
      <c r="H30" s="46">
        <f>P30/N30/1000</f>
        <v>500.15460383895135</v>
      </c>
      <c r="I30" s="47">
        <f t="shared" si="1"/>
        <v>0.99999486509727309</v>
      </c>
      <c r="J30" s="191"/>
      <c r="K30" s="29"/>
      <c r="L30" s="55"/>
      <c r="M30" s="55"/>
      <c r="N30" s="56">
        <v>106.8</v>
      </c>
      <c r="O30" s="56">
        <f>56490785.98-O31</f>
        <v>53416785.979999997</v>
      </c>
      <c r="P30" s="218">
        <f>56490511.69-P31</f>
        <v>53416511.689999998</v>
      </c>
      <c r="Q30" s="55"/>
      <c r="R30" s="194">
        <v>365.38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4.75" customHeight="1" x14ac:dyDescent="0.2">
      <c r="A31" s="202">
        <v>22</v>
      </c>
      <c r="B31" s="42" t="s">
        <v>100</v>
      </c>
      <c r="C31" s="43" t="s">
        <v>83</v>
      </c>
      <c r="D31" s="44">
        <v>2558.64</v>
      </c>
      <c r="E31" s="44">
        <f t="shared" si="0"/>
        <v>2068.6406460296098</v>
      </c>
      <c r="F31" s="45">
        <f>O31/M31</f>
        <v>2068.6406460296098</v>
      </c>
      <c r="G31" s="44">
        <f t="shared" si="2"/>
        <v>2339.25688200987</v>
      </c>
      <c r="H31" s="46">
        <f>P31/M31</f>
        <v>2068.6406460296098</v>
      </c>
      <c r="I31" s="47">
        <f t="shared" si="1"/>
        <v>1</v>
      </c>
      <c r="J31" s="191"/>
      <c r="K31" s="29"/>
      <c r="L31" s="55"/>
      <c r="M31" s="57">
        <v>1486</v>
      </c>
      <c r="N31" s="56"/>
      <c r="O31" s="56">
        <v>3074000</v>
      </c>
      <c r="P31" s="203">
        <v>3074000</v>
      </c>
      <c r="Q31" s="55"/>
      <c r="R31" s="194">
        <v>2390.4899999999998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ht="22.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29"/>
      <c r="K32" s="29"/>
      <c r="L32" s="59"/>
      <c r="M32" s="60"/>
      <c r="N32" s="60"/>
      <c r="O32" s="61"/>
      <c r="P32" s="61"/>
      <c r="Q32" s="6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22.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29"/>
      <c r="K33" s="29"/>
      <c r="L33" s="29"/>
      <c r="M33" s="29"/>
      <c r="N33" s="29"/>
      <c r="O33" s="58"/>
      <c r="P33" s="58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6.5" customHeight="1" x14ac:dyDescent="0.2">
      <c r="A34" s="62"/>
      <c r="B34" s="26"/>
      <c r="C34" s="26"/>
      <c r="D34" s="26"/>
      <c r="E34" s="26"/>
      <c r="F34" s="26"/>
      <c r="G34" s="26"/>
      <c r="H34" s="26"/>
      <c r="I34" s="26"/>
      <c r="J34" s="29"/>
      <c r="K34" s="29"/>
      <c r="L34" s="29"/>
      <c r="M34" s="29"/>
      <c r="N34" s="29"/>
      <c r="O34" s="58"/>
      <c r="P34" s="58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64.5" customHeight="1" x14ac:dyDescent="0.25">
      <c r="A35" s="357" t="s">
        <v>172</v>
      </c>
      <c r="B35" s="357"/>
      <c r="C35" s="357"/>
      <c r="D35" s="27"/>
      <c r="E35" s="358" t="s">
        <v>45</v>
      </c>
      <c r="F35" s="358"/>
      <c r="G35" s="25"/>
      <c r="H35" s="26"/>
      <c r="I35" s="26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.75" x14ac:dyDescent="0.2">
      <c r="A36" s="315" t="s">
        <v>46</v>
      </c>
      <c r="B36" s="315"/>
      <c r="C36" s="63"/>
      <c r="D36" s="64"/>
      <c r="E36" s="359" t="s">
        <v>47</v>
      </c>
      <c r="F36" s="359"/>
      <c r="G36" s="201" t="s">
        <v>48</v>
      </c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ht="22.5" customHeight="1" x14ac:dyDescent="0.2">
      <c r="A37" s="65"/>
      <c r="B37" s="65"/>
      <c r="C37" s="63"/>
      <c r="D37" s="26"/>
      <c r="E37" s="26"/>
      <c r="F37" s="26"/>
      <c r="G37" s="26"/>
      <c r="H37" s="26"/>
      <c r="I37" s="26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ht="22.5" customHeight="1" x14ac:dyDescent="0.2">
      <c r="A38" s="65"/>
      <c r="B38" s="65"/>
      <c r="C38" s="63"/>
      <c r="D38" s="26"/>
      <c r="E38" s="26"/>
      <c r="F38" s="26"/>
      <c r="G38" s="26"/>
      <c r="H38" s="26"/>
      <c r="I38" s="2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22.5" customHeight="1" x14ac:dyDescent="0.2">
      <c r="A39" s="65"/>
      <c r="B39" s="65"/>
      <c r="C39" s="63"/>
      <c r="D39" s="26"/>
      <c r="E39" s="26"/>
      <c r="F39" s="26"/>
      <c r="G39" s="26"/>
      <c r="H39" s="26"/>
      <c r="I39" s="26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15.75" x14ac:dyDescent="0.2">
      <c r="A40" s="192" t="s">
        <v>49</v>
      </c>
      <c r="B40" s="192"/>
      <c r="C40" s="63"/>
      <c r="D40" s="25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ht="15.75" x14ac:dyDescent="0.2">
      <c r="A41" s="315" t="s">
        <v>50</v>
      </c>
      <c r="B41" s="315"/>
      <c r="C41" s="63"/>
      <c r="D41" s="201" t="s">
        <v>48</v>
      </c>
      <c r="E41" s="26"/>
      <c r="F41" s="26"/>
      <c r="G41" s="26"/>
      <c r="H41" s="26"/>
      <c r="I41" s="26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ht="15.75" x14ac:dyDescent="0.2">
      <c r="A42" s="63"/>
      <c r="B42" s="63"/>
      <c r="C42" s="63"/>
      <c r="D42" s="26"/>
      <c r="E42" s="26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ht="15.75" x14ac:dyDescent="0.2">
      <c r="A43" s="63"/>
      <c r="B43" s="63"/>
      <c r="C43" s="63"/>
      <c r="D43" s="26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15.7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ht="45" customHeight="1" x14ac:dyDescent="0.2">
      <c r="A45" s="26"/>
      <c r="B45" s="26"/>
      <c r="C45" s="26"/>
      <c r="D45" s="66" t="s">
        <v>101</v>
      </c>
      <c r="E45" s="66" t="s">
        <v>102</v>
      </c>
      <c r="F45" s="67" t="s">
        <v>103</v>
      </c>
      <c r="G45" s="68" t="s">
        <v>170</v>
      </c>
      <c r="H45" s="69" t="s">
        <v>171</v>
      </c>
      <c r="I45" s="2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ht="15.75" x14ac:dyDescent="0.2">
      <c r="A46" s="26"/>
      <c r="B46" s="26"/>
      <c r="C46" s="26"/>
      <c r="D46" s="26"/>
      <c r="E46" s="26"/>
      <c r="F46" s="26"/>
      <c r="G46" s="70" t="s">
        <v>104</v>
      </c>
      <c r="H46" s="26"/>
      <c r="I46" s="2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2">
      <c r="A47" s="31"/>
      <c r="B47" s="31"/>
      <c r="C47" s="31"/>
      <c r="D47" s="31"/>
      <c r="E47" s="31"/>
      <c r="F47" s="31"/>
      <c r="G47" s="31"/>
      <c r="H47" s="3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2">
      <c r="A48" s="31"/>
      <c r="B48" s="31"/>
      <c r="C48" s="31"/>
      <c r="D48" s="31"/>
      <c r="E48" s="31"/>
      <c r="F48" s="31"/>
      <c r="G48" s="31"/>
      <c r="H48" s="3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">
      <c r="A49" s="31"/>
      <c r="B49" s="31"/>
      <c r="C49" s="31"/>
      <c r="D49" s="31"/>
      <c r="E49" s="31"/>
      <c r="F49" s="31"/>
      <c r="G49" s="31"/>
      <c r="H49" s="3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2">
      <c r="A50" s="31"/>
      <c r="B50" s="31"/>
      <c r="C50" s="31"/>
      <c r="D50" s="31"/>
      <c r="E50" s="31"/>
      <c r="F50" s="31"/>
      <c r="G50" s="31"/>
      <c r="H50" s="3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x14ac:dyDescent="0.2">
      <c r="A51" s="31"/>
      <c r="B51" s="31"/>
      <c r="C51" s="31"/>
      <c r="D51" s="31"/>
      <c r="E51" s="31"/>
      <c r="F51" s="31"/>
      <c r="G51" s="31"/>
      <c r="H51" s="3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x14ac:dyDescent="0.2">
      <c r="A52" s="31"/>
      <c r="B52" s="31"/>
      <c r="C52" s="31"/>
      <c r="D52" s="31"/>
      <c r="E52" s="31"/>
      <c r="F52" s="31"/>
      <c r="G52" s="31"/>
      <c r="H52" s="3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x14ac:dyDescent="0.2">
      <c r="A53" s="31"/>
      <c r="B53" s="31"/>
      <c r="C53" s="31"/>
      <c r="D53" s="31"/>
      <c r="E53" s="31"/>
      <c r="F53" s="31"/>
      <c r="G53" s="31"/>
      <c r="H53" s="3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">
      <c r="A65" s="31"/>
      <c r="B65" s="31"/>
      <c r="C65" s="31"/>
      <c r="D65" s="31"/>
      <c r="E65" s="31"/>
      <c r="F65" s="31"/>
      <c r="G65" s="31"/>
      <c r="H65" s="31"/>
      <c r="I65" s="3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x14ac:dyDescent="0.2">
      <c r="A66" s="31"/>
      <c r="B66" s="31"/>
      <c r="C66" s="31"/>
      <c r="D66" s="31"/>
      <c r="E66" s="31"/>
      <c r="F66" s="31"/>
      <c r="G66" s="31"/>
      <c r="H66" s="31"/>
      <c r="I66" s="31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">
      <c r="A67" s="31"/>
      <c r="B67" s="31"/>
      <c r="C67" s="31"/>
      <c r="D67" s="31"/>
      <c r="E67" s="31"/>
      <c r="F67" s="31"/>
      <c r="G67" s="31"/>
      <c r="H67" s="31"/>
      <c r="I67" s="31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x14ac:dyDescent="0.2">
      <c r="A68" s="31"/>
      <c r="B68" s="31"/>
      <c r="C68" s="31"/>
      <c r="D68" s="31"/>
      <c r="E68" s="31"/>
      <c r="F68" s="31"/>
      <c r="G68" s="31"/>
      <c r="H68" s="31"/>
      <c r="I68" s="31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31"/>
      <c r="B69" s="31"/>
      <c r="C69" s="31"/>
      <c r="D69" s="31"/>
      <c r="E69" s="31"/>
      <c r="F69" s="31"/>
      <c r="G69" s="31"/>
      <c r="H69" s="31"/>
      <c r="I69" s="31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x14ac:dyDescent="0.2">
      <c r="A70" s="31"/>
      <c r="B70" s="31"/>
      <c r="C70" s="31"/>
      <c r="D70" s="31"/>
      <c r="E70" s="31"/>
      <c r="F70" s="31"/>
      <c r="G70" s="31"/>
      <c r="H70" s="31"/>
      <c r="I70" s="3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x14ac:dyDescent="0.2">
      <c r="A71" s="31"/>
      <c r="B71" s="31"/>
      <c r="C71" s="31"/>
      <c r="D71" s="31"/>
      <c r="E71" s="31"/>
      <c r="F71" s="31"/>
      <c r="G71" s="31"/>
      <c r="H71" s="31"/>
      <c r="I71" s="31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x14ac:dyDescent="0.2">
      <c r="A73" s="31"/>
      <c r="B73" s="31"/>
      <c r="C73" s="31"/>
      <c r="D73" s="31"/>
      <c r="E73" s="31"/>
      <c r="F73" s="31"/>
      <c r="G73" s="31"/>
      <c r="H73" s="31"/>
      <c r="I73" s="31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x14ac:dyDescent="0.2">
      <c r="A74" s="31"/>
      <c r="B74" s="31"/>
      <c r="C74" s="31"/>
      <c r="D74" s="31"/>
      <c r="E74" s="31"/>
      <c r="F74" s="31"/>
      <c r="G74" s="31"/>
      <c r="H74" s="31"/>
      <c r="I74" s="31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x14ac:dyDescent="0.2">
      <c r="A75" s="31"/>
      <c r="B75" s="31"/>
      <c r="C75" s="31"/>
      <c r="D75" s="31"/>
      <c r="E75" s="31"/>
      <c r="F75" s="31"/>
      <c r="G75" s="31"/>
      <c r="H75" s="31"/>
      <c r="I75" s="31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x14ac:dyDescent="0.2">
      <c r="A76" s="31"/>
      <c r="B76" s="31"/>
      <c r="C76" s="31"/>
      <c r="D76" s="31"/>
      <c r="E76" s="31"/>
      <c r="F76" s="31"/>
      <c r="G76" s="31"/>
      <c r="H76" s="31"/>
      <c r="I76" s="31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x14ac:dyDescent="0.2">
      <c r="A77" s="31"/>
      <c r="B77" s="31"/>
      <c r="C77" s="31"/>
      <c r="D77" s="31"/>
      <c r="E77" s="31"/>
      <c r="F77" s="31"/>
      <c r="G77" s="31"/>
      <c r="H77" s="31"/>
      <c r="I77" s="3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x14ac:dyDescent="0.2">
      <c r="A79" s="31"/>
      <c r="B79" s="31"/>
      <c r="C79" s="31"/>
      <c r="D79" s="31"/>
      <c r="E79" s="31"/>
      <c r="F79" s="31"/>
      <c r="G79" s="31"/>
      <c r="H79" s="31"/>
      <c r="I79" s="31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x14ac:dyDescent="0.2">
      <c r="A80" s="31"/>
      <c r="B80" s="31"/>
      <c r="C80" s="31"/>
      <c r="D80" s="31"/>
      <c r="E80" s="31"/>
      <c r="F80" s="31"/>
      <c r="G80" s="31"/>
      <c r="H80" s="31"/>
      <c r="I80" s="31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x14ac:dyDescent="0.2">
      <c r="A83" s="31"/>
      <c r="B83" s="31"/>
      <c r="C83" s="31"/>
      <c r="D83" s="31"/>
      <c r="E83" s="31"/>
      <c r="F83" s="31"/>
      <c r="G83" s="31"/>
      <c r="H83" s="31"/>
      <c r="I83" s="31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x14ac:dyDescent="0.2">
      <c r="A84" s="31"/>
      <c r="B84" s="31"/>
      <c r="C84" s="31"/>
      <c r="D84" s="31"/>
      <c r="E84" s="31"/>
      <c r="F84" s="31"/>
      <c r="G84" s="31"/>
      <c r="H84" s="31"/>
      <c r="I84" s="31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x14ac:dyDescent="0.2">
      <c r="A85" s="31"/>
      <c r="B85" s="31"/>
      <c r="C85" s="31"/>
      <c r="D85" s="31"/>
      <c r="E85" s="31"/>
      <c r="F85" s="31"/>
      <c r="G85" s="31"/>
      <c r="H85" s="31"/>
      <c r="I85" s="31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x14ac:dyDescent="0.2">
      <c r="A86" s="31"/>
      <c r="B86" s="31"/>
      <c r="C86" s="31"/>
      <c r="D86" s="31"/>
      <c r="E86" s="31"/>
      <c r="F86" s="31"/>
      <c r="G86" s="31"/>
      <c r="H86" s="31"/>
      <c r="I86" s="31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x14ac:dyDescent="0.2">
      <c r="A87" s="31"/>
      <c r="B87" s="31"/>
      <c r="C87" s="31"/>
      <c r="D87" s="31"/>
      <c r="E87" s="31"/>
      <c r="F87" s="31"/>
      <c r="G87" s="31"/>
      <c r="H87" s="31"/>
      <c r="I87" s="31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x14ac:dyDescent="0.2">
      <c r="A88" s="31"/>
      <c r="B88" s="31"/>
      <c r="C88" s="31"/>
      <c r="D88" s="31"/>
      <c r="E88" s="31"/>
      <c r="F88" s="31"/>
      <c r="G88" s="31"/>
      <c r="H88" s="31"/>
      <c r="I88" s="31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x14ac:dyDescent="0.2">
      <c r="A89" s="31"/>
      <c r="B89" s="31"/>
      <c r="C89" s="31"/>
      <c r="D89" s="31"/>
      <c r="E89" s="31"/>
      <c r="F89" s="31"/>
      <c r="G89" s="31"/>
      <c r="H89" s="31"/>
      <c r="I89" s="31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x14ac:dyDescent="0.2">
      <c r="A90" s="31"/>
      <c r="B90" s="31"/>
      <c r="C90" s="31"/>
      <c r="D90" s="31"/>
      <c r="E90" s="31"/>
      <c r="F90" s="31"/>
      <c r="G90" s="31"/>
      <c r="H90" s="31"/>
      <c r="I90" s="31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">
      <c r="A91" s="31"/>
      <c r="B91" s="31"/>
      <c r="C91" s="31"/>
      <c r="D91" s="31"/>
      <c r="E91" s="31"/>
      <c r="F91" s="31"/>
      <c r="G91" s="31"/>
      <c r="H91" s="31"/>
      <c r="I91" s="3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">
      <c r="A92" s="31"/>
      <c r="B92" s="31"/>
      <c r="C92" s="31"/>
      <c r="D92" s="31"/>
      <c r="E92" s="31"/>
      <c r="F92" s="31"/>
      <c r="G92" s="31"/>
      <c r="H92" s="31"/>
      <c r="I92" s="31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">
      <c r="A93" s="31"/>
      <c r="B93" s="31"/>
      <c r="C93" s="31"/>
      <c r="D93" s="31"/>
      <c r="E93" s="31"/>
      <c r="F93" s="31"/>
      <c r="G93" s="31"/>
      <c r="H93" s="31"/>
      <c r="I93" s="31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">
      <c r="A94" s="31"/>
      <c r="B94" s="31"/>
      <c r="C94" s="31"/>
      <c r="D94" s="31"/>
      <c r="E94" s="31"/>
      <c r="F94" s="31"/>
      <c r="G94" s="31"/>
      <c r="H94" s="31"/>
      <c r="I94" s="31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x14ac:dyDescent="0.2">
      <c r="A95" s="31"/>
      <c r="B95" s="31"/>
      <c r="C95" s="31"/>
      <c r="D95" s="31"/>
      <c r="E95" s="31"/>
      <c r="F95" s="31"/>
      <c r="G95" s="31"/>
      <c r="H95" s="31"/>
      <c r="I95" s="31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x14ac:dyDescent="0.2">
      <c r="A96" s="31"/>
      <c r="B96" s="31"/>
      <c r="C96" s="31"/>
      <c r="D96" s="31"/>
      <c r="E96" s="31"/>
      <c r="F96" s="31"/>
      <c r="G96" s="31"/>
      <c r="H96" s="31"/>
      <c r="I96" s="31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">
      <c r="A97" s="31"/>
      <c r="B97" s="31"/>
      <c r="C97" s="31"/>
      <c r="D97" s="31"/>
      <c r="E97" s="31"/>
      <c r="F97" s="31"/>
      <c r="G97" s="31"/>
      <c r="H97" s="31"/>
      <c r="I97" s="31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x14ac:dyDescent="0.2">
      <c r="A98" s="31"/>
      <c r="B98" s="31"/>
      <c r="C98" s="31"/>
      <c r="D98" s="31"/>
      <c r="E98" s="31"/>
      <c r="F98" s="31"/>
      <c r="G98" s="31"/>
      <c r="H98" s="31"/>
      <c r="I98" s="31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x14ac:dyDescent="0.2">
      <c r="A99" s="31"/>
      <c r="B99" s="31"/>
      <c r="C99" s="31"/>
      <c r="D99" s="31"/>
      <c r="E99" s="31"/>
      <c r="F99" s="31"/>
      <c r="G99" s="31"/>
      <c r="H99" s="31"/>
      <c r="I99" s="31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1:32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</row>
    <row r="166" spans="1:32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</row>
    <row r="174" spans="1:32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</row>
    <row r="176" spans="1:32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</row>
    <row r="177" spans="1:32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</row>
    <row r="178" spans="1:32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</row>
    <row r="179" spans="1:32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</row>
    <row r="180" spans="1:32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</row>
    <row r="181" spans="1:32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</row>
    <row r="182" spans="1:32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</row>
    <row r="183" spans="1:32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</row>
    <row r="184" spans="1:32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</row>
    <row r="197" spans="1:32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</row>
    <row r="198" spans="1:32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</row>
    <row r="199" spans="1:32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</row>
    <row r="200" spans="1:32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</row>
    <row r="201" spans="1:32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</row>
    <row r="202" spans="1:32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</row>
    <row r="203" spans="1:32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</row>
    <row r="204" spans="1:32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x14ac:dyDescent="0.2">
      <c r="A234" s="71"/>
      <c r="B234" s="71"/>
      <c r="C234" s="71"/>
      <c r="D234" s="71"/>
      <c r="E234" s="71"/>
      <c r="F234" s="71"/>
      <c r="G234" s="71"/>
      <c r="H234" s="71"/>
      <c r="I234" s="71"/>
    </row>
    <row r="235" spans="1:32" x14ac:dyDescent="0.2">
      <c r="A235" s="71"/>
      <c r="B235" s="71"/>
      <c r="C235" s="71"/>
      <c r="D235" s="71"/>
      <c r="E235" s="71"/>
      <c r="F235" s="71"/>
      <c r="G235" s="71"/>
      <c r="H235" s="71"/>
      <c r="I235" s="71"/>
    </row>
    <row r="236" spans="1:32" x14ac:dyDescent="0.2">
      <c r="A236" s="71"/>
      <c r="B236" s="71"/>
      <c r="C236" s="71"/>
      <c r="D236" s="71"/>
      <c r="E236" s="71"/>
      <c r="F236" s="71"/>
      <c r="G236" s="71"/>
      <c r="H236" s="71"/>
      <c r="I236" s="71"/>
    </row>
    <row r="237" spans="1:32" x14ac:dyDescent="0.2">
      <c r="A237" s="71"/>
      <c r="B237" s="71"/>
      <c r="C237" s="71"/>
      <c r="D237" s="71"/>
      <c r="E237" s="71"/>
      <c r="F237" s="71"/>
      <c r="G237" s="71"/>
      <c r="H237" s="71"/>
      <c r="I237" s="71"/>
    </row>
    <row r="238" spans="1:32" x14ac:dyDescent="0.2">
      <c r="A238" s="71"/>
      <c r="B238" s="71"/>
      <c r="C238" s="71"/>
      <c r="D238" s="71"/>
      <c r="E238" s="71"/>
      <c r="F238" s="71"/>
      <c r="G238" s="71"/>
      <c r="H238" s="71"/>
      <c r="I238" s="71"/>
    </row>
    <row r="239" spans="1:32" x14ac:dyDescent="0.2">
      <c r="A239" s="71"/>
      <c r="B239" s="71"/>
      <c r="C239" s="71"/>
      <c r="D239" s="71"/>
      <c r="E239" s="71"/>
      <c r="F239" s="71"/>
      <c r="G239" s="71"/>
      <c r="H239" s="71"/>
      <c r="I239" s="71"/>
    </row>
    <row r="240" spans="1:32" x14ac:dyDescent="0.2">
      <c r="A240" s="71"/>
      <c r="B240" s="71"/>
      <c r="C240" s="71"/>
      <c r="D240" s="71"/>
      <c r="E240" s="71"/>
      <c r="F240" s="71"/>
      <c r="G240" s="71"/>
      <c r="H240" s="71"/>
      <c r="I240" s="71"/>
    </row>
    <row r="241" spans="1:9" x14ac:dyDescent="0.2">
      <c r="A241" s="71"/>
      <c r="B241" s="71"/>
      <c r="C241" s="71"/>
      <c r="D241" s="71"/>
      <c r="E241" s="71"/>
      <c r="F241" s="71"/>
      <c r="G241" s="71"/>
      <c r="H241" s="71"/>
      <c r="I241" s="71"/>
    </row>
    <row r="242" spans="1:9" x14ac:dyDescent="0.2">
      <c r="A242" s="71"/>
      <c r="B242" s="71"/>
      <c r="C242" s="71"/>
      <c r="D242" s="71"/>
      <c r="E242" s="71"/>
      <c r="F242" s="71"/>
      <c r="G242" s="71"/>
      <c r="H242" s="71"/>
      <c r="I242" s="71"/>
    </row>
    <row r="243" spans="1:9" x14ac:dyDescent="0.2">
      <c r="A243" s="71"/>
      <c r="B243" s="71"/>
      <c r="C243" s="71"/>
      <c r="D243" s="71"/>
      <c r="E243" s="71"/>
      <c r="F243" s="71"/>
      <c r="G243" s="71"/>
      <c r="H243" s="71"/>
      <c r="I243" s="71"/>
    </row>
    <row r="244" spans="1:9" x14ac:dyDescent="0.2">
      <c r="A244" s="71"/>
      <c r="B244" s="71"/>
      <c r="C244" s="71"/>
      <c r="D244" s="71"/>
      <c r="E244" s="71"/>
      <c r="F244" s="71"/>
      <c r="G244" s="71"/>
      <c r="H244" s="71"/>
      <c r="I244" s="71"/>
    </row>
    <row r="245" spans="1:9" x14ac:dyDescent="0.2">
      <c r="A245" s="71"/>
      <c r="B245" s="71"/>
      <c r="C245" s="71"/>
      <c r="D245" s="71"/>
      <c r="E245" s="71"/>
      <c r="F245" s="71"/>
      <c r="G245" s="71"/>
      <c r="H245" s="71"/>
      <c r="I245" s="71"/>
    </row>
    <row r="246" spans="1:9" x14ac:dyDescent="0.2">
      <c r="A246" s="71"/>
      <c r="B246" s="71"/>
      <c r="C246" s="71"/>
      <c r="D246" s="71"/>
      <c r="E246" s="71"/>
      <c r="F246" s="71"/>
      <c r="G246" s="71"/>
      <c r="H246" s="71"/>
      <c r="I246" s="71"/>
    </row>
    <row r="247" spans="1:9" x14ac:dyDescent="0.2">
      <c r="A247" s="71"/>
      <c r="B247" s="71"/>
      <c r="C247" s="71"/>
      <c r="D247" s="71"/>
      <c r="E247" s="71"/>
      <c r="F247" s="71"/>
      <c r="G247" s="71"/>
      <c r="H247" s="71"/>
      <c r="I247" s="71"/>
    </row>
    <row r="248" spans="1:9" x14ac:dyDescent="0.2">
      <c r="A248" s="71"/>
      <c r="B248" s="71"/>
      <c r="C248" s="71"/>
      <c r="D248" s="71"/>
      <c r="E248" s="71"/>
      <c r="F248" s="71"/>
      <c r="G248" s="71"/>
      <c r="H248" s="71"/>
      <c r="I248" s="71"/>
    </row>
    <row r="249" spans="1:9" x14ac:dyDescent="0.2">
      <c r="A249" s="71"/>
      <c r="B249" s="71"/>
      <c r="C249" s="71"/>
      <c r="D249" s="71"/>
      <c r="E249" s="71"/>
      <c r="F249" s="71"/>
      <c r="G249" s="71"/>
      <c r="H249" s="71"/>
      <c r="I249" s="71"/>
    </row>
    <row r="250" spans="1:9" x14ac:dyDescent="0.2">
      <c r="A250" s="71"/>
      <c r="B250" s="71"/>
      <c r="C250" s="71"/>
      <c r="D250" s="71"/>
      <c r="E250" s="71"/>
      <c r="F250" s="71"/>
      <c r="G250" s="71"/>
      <c r="H250" s="71"/>
      <c r="I250" s="71"/>
    </row>
    <row r="251" spans="1:9" x14ac:dyDescent="0.2">
      <c r="A251" s="71"/>
      <c r="B251" s="71"/>
      <c r="C251" s="71"/>
      <c r="D251" s="71"/>
      <c r="E251" s="71"/>
      <c r="F251" s="71"/>
      <c r="G251" s="71"/>
      <c r="H251" s="71"/>
      <c r="I251" s="71"/>
    </row>
    <row r="252" spans="1:9" x14ac:dyDescent="0.2">
      <c r="A252" s="71"/>
      <c r="B252" s="71"/>
      <c r="C252" s="71"/>
      <c r="D252" s="71"/>
      <c r="E252" s="71"/>
      <c r="F252" s="71"/>
      <c r="G252" s="71"/>
      <c r="H252" s="71"/>
      <c r="I252" s="71"/>
    </row>
    <row r="253" spans="1:9" x14ac:dyDescent="0.2">
      <c r="A253" s="71"/>
      <c r="B253" s="71"/>
      <c r="C253" s="71"/>
      <c r="D253" s="71"/>
      <c r="E253" s="71"/>
      <c r="F253" s="71"/>
      <c r="G253" s="71"/>
      <c r="H253" s="71"/>
      <c r="I253" s="71"/>
    </row>
    <row r="254" spans="1:9" x14ac:dyDescent="0.2">
      <c r="A254" s="71"/>
      <c r="B254" s="71"/>
      <c r="C254" s="71"/>
      <c r="D254" s="71"/>
      <c r="E254" s="71"/>
      <c r="F254" s="71"/>
      <c r="G254" s="71"/>
      <c r="H254" s="71"/>
      <c r="I254" s="71"/>
    </row>
    <row r="255" spans="1:9" x14ac:dyDescent="0.2">
      <c r="A255" s="71"/>
      <c r="B255" s="71"/>
      <c r="C255" s="71"/>
      <c r="D255" s="71"/>
      <c r="E255" s="71"/>
      <c r="F255" s="71"/>
      <c r="G255" s="71"/>
      <c r="H255" s="71"/>
      <c r="I255" s="71"/>
    </row>
    <row r="256" spans="1:9" x14ac:dyDescent="0.2">
      <c r="A256" s="71"/>
      <c r="B256" s="71"/>
      <c r="C256" s="71"/>
      <c r="D256" s="71"/>
      <c r="E256" s="71"/>
      <c r="F256" s="71"/>
      <c r="G256" s="71"/>
      <c r="H256" s="71"/>
      <c r="I256" s="71"/>
    </row>
    <row r="257" spans="1:9" x14ac:dyDescent="0.2">
      <c r="A257" s="71"/>
      <c r="B257" s="71"/>
      <c r="C257" s="71"/>
      <c r="D257" s="71"/>
      <c r="E257" s="71"/>
      <c r="F257" s="71"/>
      <c r="G257" s="71"/>
      <c r="H257" s="71"/>
      <c r="I257" s="71"/>
    </row>
    <row r="258" spans="1:9" x14ac:dyDescent="0.2">
      <c r="A258" s="71"/>
      <c r="B258" s="71"/>
      <c r="C258" s="71"/>
      <c r="D258" s="71"/>
      <c r="E258" s="71"/>
      <c r="F258" s="71"/>
      <c r="G258" s="71"/>
      <c r="H258" s="71"/>
      <c r="I258" s="71"/>
    </row>
    <row r="259" spans="1:9" x14ac:dyDescent="0.2">
      <c r="A259" s="71"/>
      <c r="B259" s="71"/>
      <c r="C259" s="71"/>
      <c r="D259" s="71"/>
      <c r="E259" s="71"/>
      <c r="F259" s="71"/>
      <c r="G259" s="71"/>
      <c r="H259" s="71"/>
      <c r="I259" s="71"/>
    </row>
    <row r="260" spans="1:9" x14ac:dyDescent="0.2">
      <c r="A260" s="71"/>
      <c r="B260" s="71"/>
      <c r="C260" s="71"/>
      <c r="D260" s="71"/>
      <c r="E260" s="71"/>
      <c r="F260" s="71"/>
      <c r="G260" s="71"/>
      <c r="H260" s="71"/>
      <c r="I260" s="71"/>
    </row>
    <row r="261" spans="1:9" x14ac:dyDescent="0.2">
      <c r="A261" s="71"/>
      <c r="B261" s="71"/>
      <c r="C261" s="71"/>
      <c r="D261" s="71"/>
      <c r="E261" s="71"/>
      <c r="F261" s="71"/>
      <c r="G261" s="71"/>
      <c r="H261" s="71"/>
      <c r="I261" s="71"/>
    </row>
    <row r="262" spans="1:9" x14ac:dyDescent="0.2">
      <c r="A262" s="71"/>
      <c r="B262" s="71"/>
      <c r="C262" s="71"/>
      <c r="D262" s="71"/>
      <c r="E262" s="71"/>
      <c r="F262" s="71"/>
      <c r="G262" s="71"/>
      <c r="H262" s="71"/>
      <c r="I262" s="71"/>
    </row>
    <row r="263" spans="1:9" x14ac:dyDescent="0.2">
      <c r="A263" s="71"/>
      <c r="B263" s="71"/>
      <c r="C263" s="71"/>
      <c r="D263" s="71"/>
      <c r="E263" s="71"/>
      <c r="F263" s="71"/>
      <c r="G263" s="71"/>
      <c r="H263" s="71"/>
      <c r="I263" s="71"/>
    </row>
    <row r="264" spans="1:9" x14ac:dyDescent="0.2">
      <c r="A264" s="71"/>
      <c r="B264" s="71"/>
      <c r="C264" s="71"/>
      <c r="D264" s="71"/>
      <c r="E264" s="71"/>
      <c r="F264" s="71"/>
      <c r="G264" s="71"/>
      <c r="H264" s="71"/>
      <c r="I264" s="71"/>
    </row>
    <row r="265" spans="1:9" x14ac:dyDescent="0.2">
      <c r="A265" s="71"/>
      <c r="B265" s="71"/>
      <c r="C265" s="71"/>
      <c r="D265" s="71"/>
      <c r="E265" s="71"/>
      <c r="F265" s="71"/>
      <c r="G265" s="71"/>
      <c r="H265" s="71"/>
      <c r="I265" s="71"/>
    </row>
    <row r="266" spans="1:9" x14ac:dyDescent="0.2">
      <c r="A266" s="71"/>
      <c r="B266" s="71"/>
      <c r="C266" s="71"/>
      <c r="D266" s="71"/>
      <c r="E266" s="71"/>
      <c r="F266" s="71"/>
      <c r="G266" s="71"/>
      <c r="H266" s="71"/>
      <c r="I266" s="71"/>
    </row>
    <row r="267" spans="1:9" x14ac:dyDescent="0.2">
      <c r="A267" s="71"/>
      <c r="B267" s="71"/>
      <c r="C267" s="71"/>
      <c r="D267" s="71"/>
      <c r="E267" s="71"/>
      <c r="F267" s="71"/>
      <c r="G267" s="71"/>
      <c r="H267" s="71"/>
      <c r="I267" s="71"/>
    </row>
    <row r="268" spans="1:9" x14ac:dyDescent="0.2">
      <c r="A268" s="71"/>
      <c r="B268" s="71"/>
      <c r="C268" s="71"/>
      <c r="D268" s="71"/>
      <c r="E268" s="71"/>
      <c r="F268" s="71"/>
      <c r="G268" s="71"/>
      <c r="H268" s="71"/>
      <c r="I268" s="71"/>
    </row>
    <row r="269" spans="1:9" x14ac:dyDescent="0.2">
      <c r="A269" s="71"/>
      <c r="B269" s="71"/>
      <c r="C269" s="71"/>
      <c r="D269" s="71"/>
      <c r="E269" s="71"/>
      <c r="F269" s="71"/>
      <c r="G269" s="71"/>
      <c r="H269" s="71"/>
      <c r="I269" s="71"/>
    </row>
    <row r="270" spans="1:9" x14ac:dyDescent="0.2">
      <c r="A270" s="71"/>
      <c r="B270" s="71"/>
      <c r="C270" s="71"/>
      <c r="D270" s="71"/>
      <c r="E270" s="71"/>
      <c r="F270" s="71"/>
      <c r="G270" s="71"/>
      <c r="H270" s="71"/>
      <c r="I270" s="71"/>
    </row>
    <row r="271" spans="1:9" x14ac:dyDescent="0.2">
      <c r="A271" s="71"/>
      <c r="B271" s="71"/>
      <c r="C271" s="71"/>
      <c r="D271" s="71"/>
      <c r="E271" s="71"/>
      <c r="F271" s="71"/>
      <c r="G271" s="71"/>
      <c r="H271" s="71"/>
      <c r="I271" s="71"/>
    </row>
    <row r="272" spans="1:9" x14ac:dyDescent="0.2">
      <c r="A272" s="71"/>
      <c r="B272" s="71"/>
      <c r="C272" s="71"/>
      <c r="D272" s="71"/>
      <c r="E272" s="71"/>
      <c r="F272" s="71"/>
      <c r="G272" s="71"/>
      <c r="H272" s="71"/>
      <c r="I272" s="71"/>
    </row>
    <row r="273" spans="1:9" x14ac:dyDescent="0.2">
      <c r="A273" s="71"/>
      <c r="B273" s="71"/>
      <c r="C273" s="71"/>
      <c r="D273" s="71"/>
      <c r="E273" s="71"/>
      <c r="F273" s="71"/>
      <c r="G273" s="71"/>
      <c r="H273" s="71"/>
      <c r="I273" s="71"/>
    </row>
    <row r="274" spans="1:9" x14ac:dyDescent="0.2">
      <c r="A274" s="71"/>
      <c r="B274" s="71"/>
      <c r="C274" s="71"/>
      <c r="D274" s="71"/>
      <c r="E274" s="71"/>
      <c r="F274" s="71"/>
      <c r="G274" s="71"/>
      <c r="H274" s="71"/>
      <c r="I274" s="71"/>
    </row>
    <row r="275" spans="1:9" x14ac:dyDescent="0.2">
      <c r="A275" s="71"/>
      <c r="B275" s="71"/>
      <c r="C275" s="71"/>
      <c r="D275" s="71"/>
      <c r="E275" s="71"/>
      <c r="F275" s="71"/>
      <c r="G275" s="71"/>
      <c r="H275" s="71"/>
      <c r="I275" s="71"/>
    </row>
    <row r="276" spans="1:9" x14ac:dyDescent="0.2">
      <c r="A276" s="71"/>
      <c r="B276" s="71"/>
      <c r="C276" s="71"/>
      <c r="D276" s="71"/>
      <c r="E276" s="71"/>
      <c r="F276" s="71"/>
      <c r="G276" s="71"/>
      <c r="H276" s="71"/>
      <c r="I276" s="71"/>
    </row>
    <row r="277" spans="1:9" x14ac:dyDescent="0.2">
      <c r="A277" s="71"/>
      <c r="B277" s="71"/>
      <c r="C277" s="71"/>
      <c r="D277" s="71"/>
      <c r="E277" s="71"/>
      <c r="F277" s="71"/>
      <c r="G277" s="71"/>
      <c r="H277" s="71"/>
      <c r="I277" s="71"/>
    </row>
    <row r="278" spans="1:9" x14ac:dyDescent="0.2">
      <c r="A278" s="71"/>
      <c r="B278" s="71"/>
      <c r="C278" s="71"/>
      <c r="D278" s="71"/>
      <c r="E278" s="71"/>
      <c r="F278" s="71"/>
      <c r="G278" s="71"/>
      <c r="H278" s="71"/>
      <c r="I278" s="71"/>
    </row>
    <row r="279" spans="1:9" x14ac:dyDescent="0.2">
      <c r="A279" s="71"/>
      <c r="B279" s="71"/>
      <c r="C279" s="71"/>
      <c r="D279" s="71"/>
      <c r="E279" s="71"/>
      <c r="F279" s="71"/>
      <c r="G279" s="71"/>
      <c r="H279" s="71"/>
      <c r="I279" s="71"/>
    </row>
    <row r="280" spans="1:9" x14ac:dyDescent="0.2">
      <c r="A280" s="71"/>
      <c r="B280" s="71"/>
      <c r="C280" s="71"/>
      <c r="D280" s="71"/>
      <c r="E280" s="71"/>
      <c r="F280" s="71"/>
      <c r="G280" s="71"/>
      <c r="H280" s="71"/>
      <c r="I280" s="71"/>
    </row>
    <row r="281" spans="1:9" x14ac:dyDescent="0.2">
      <c r="A281" s="71"/>
      <c r="B281" s="71"/>
      <c r="C281" s="71"/>
      <c r="D281" s="71"/>
      <c r="E281" s="71"/>
      <c r="F281" s="71"/>
      <c r="G281" s="71"/>
      <c r="H281" s="71"/>
      <c r="I281" s="71"/>
    </row>
    <row r="282" spans="1:9" x14ac:dyDescent="0.2">
      <c r="A282" s="71"/>
      <c r="B282" s="71"/>
      <c r="C282" s="71"/>
      <c r="D282" s="71"/>
      <c r="E282" s="71"/>
      <c r="F282" s="71"/>
      <c r="G282" s="71"/>
      <c r="H282" s="71"/>
      <c r="I282" s="71"/>
    </row>
    <row r="283" spans="1:9" x14ac:dyDescent="0.2">
      <c r="A283" s="71"/>
      <c r="B283" s="71"/>
      <c r="C283" s="71"/>
      <c r="D283" s="71"/>
      <c r="E283" s="71"/>
      <c r="F283" s="71"/>
      <c r="G283" s="71"/>
      <c r="H283" s="71"/>
      <c r="I283" s="71"/>
    </row>
    <row r="284" spans="1:9" x14ac:dyDescent="0.2">
      <c r="A284" s="71"/>
      <c r="B284" s="71"/>
      <c r="C284" s="71"/>
      <c r="D284" s="71"/>
      <c r="E284" s="71"/>
      <c r="F284" s="71"/>
      <c r="G284" s="71"/>
      <c r="H284" s="71"/>
      <c r="I284" s="71"/>
    </row>
    <row r="285" spans="1:9" x14ac:dyDescent="0.2">
      <c r="A285" s="71"/>
      <c r="B285" s="71"/>
      <c r="C285" s="71"/>
      <c r="D285" s="71"/>
      <c r="E285" s="71"/>
      <c r="F285" s="71"/>
      <c r="G285" s="71"/>
      <c r="H285" s="71"/>
      <c r="I285" s="71"/>
    </row>
    <row r="286" spans="1:9" x14ac:dyDescent="0.2">
      <c r="A286" s="71"/>
      <c r="B286" s="71"/>
      <c r="C286" s="71"/>
      <c r="D286" s="71"/>
      <c r="E286" s="71"/>
      <c r="F286" s="71"/>
      <c r="G286" s="71"/>
      <c r="H286" s="71"/>
      <c r="I286" s="71"/>
    </row>
    <row r="287" spans="1:9" x14ac:dyDescent="0.2">
      <c r="A287" s="71"/>
      <c r="B287" s="71"/>
      <c r="C287" s="71"/>
      <c r="D287" s="71"/>
      <c r="E287" s="71"/>
      <c r="F287" s="71"/>
      <c r="G287" s="71"/>
      <c r="H287" s="71"/>
      <c r="I287" s="71"/>
    </row>
    <row r="288" spans="1:9" x14ac:dyDescent="0.2">
      <c r="A288" s="71"/>
      <c r="B288" s="71"/>
      <c r="C288" s="71"/>
      <c r="D288" s="71"/>
      <c r="E288" s="71"/>
      <c r="F288" s="71"/>
      <c r="G288" s="71"/>
      <c r="H288" s="71"/>
      <c r="I288" s="71"/>
    </row>
    <row r="289" spans="1:9" x14ac:dyDescent="0.2">
      <c r="A289" s="71"/>
      <c r="B289" s="71"/>
      <c r="C289" s="71"/>
      <c r="D289" s="71"/>
      <c r="E289" s="71"/>
      <c r="F289" s="71"/>
      <c r="G289" s="71"/>
      <c r="H289" s="71"/>
      <c r="I289" s="71"/>
    </row>
    <row r="290" spans="1:9" x14ac:dyDescent="0.2">
      <c r="A290" s="71"/>
      <c r="B290" s="71"/>
      <c r="C290" s="71"/>
      <c r="D290" s="71"/>
      <c r="E290" s="71"/>
      <c r="F290" s="71"/>
      <c r="G290" s="71"/>
      <c r="H290" s="71"/>
      <c r="I290" s="71"/>
    </row>
    <row r="291" spans="1:9" x14ac:dyDescent="0.2">
      <c r="A291" s="71"/>
      <c r="B291" s="71"/>
      <c r="C291" s="71"/>
      <c r="D291" s="71"/>
      <c r="E291" s="71"/>
      <c r="F291" s="71"/>
      <c r="G291" s="71"/>
      <c r="H291" s="71"/>
      <c r="I291" s="71"/>
    </row>
    <row r="292" spans="1:9" x14ac:dyDescent="0.2">
      <c r="A292" s="71"/>
      <c r="B292" s="71"/>
      <c r="C292" s="71"/>
      <c r="D292" s="71"/>
      <c r="E292" s="71"/>
      <c r="F292" s="71"/>
      <c r="G292" s="71"/>
      <c r="H292" s="71"/>
      <c r="I292" s="71"/>
    </row>
    <row r="293" spans="1:9" x14ac:dyDescent="0.2">
      <c r="A293" s="71"/>
      <c r="B293" s="71"/>
      <c r="C293" s="71"/>
      <c r="D293" s="71"/>
      <c r="E293" s="71"/>
      <c r="F293" s="71"/>
      <c r="G293" s="71"/>
      <c r="H293" s="71"/>
      <c r="I293" s="71"/>
    </row>
    <row r="294" spans="1:9" x14ac:dyDescent="0.2">
      <c r="A294" s="71"/>
      <c r="B294" s="71"/>
      <c r="C294" s="71"/>
      <c r="D294" s="71"/>
      <c r="E294" s="71"/>
      <c r="F294" s="71"/>
      <c r="G294" s="71"/>
      <c r="H294" s="71"/>
      <c r="I294" s="71"/>
    </row>
    <row r="295" spans="1:9" x14ac:dyDescent="0.2">
      <c r="A295" s="71"/>
      <c r="B295" s="71"/>
      <c r="C295" s="71"/>
      <c r="D295" s="71"/>
      <c r="E295" s="71"/>
      <c r="F295" s="71"/>
      <c r="G295" s="71"/>
      <c r="H295" s="71"/>
      <c r="I295" s="71"/>
    </row>
    <row r="296" spans="1:9" x14ac:dyDescent="0.2">
      <c r="A296" s="71"/>
      <c r="B296" s="71"/>
      <c r="C296" s="71"/>
      <c r="D296" s="71"/>
      <c r="E296" s="71"/>
      <c r="F296" s="71"/>
      <c r="G296" s="71"/>
      <c r="H296" s="71"/>
      <c r="I296" s="71"/>
    </row>
    <row r="297" spans="1:9" x14ac:dyDescent="0.2">
      <c r="A297" s="71"/>
      <c r="B297" s="71"/>
      <c r="C297" s="71"/>
      <c r="D297" s="71"/>
      <c r="E297" s="71"/>
      <c r="F297" s="71"/>
      <c r="G297" s="71"/>
      <c r="H297" s="71"/>
      <c r="I297" s="71"/>
    </row>
    <row r="298" spans="1:9" x14ac:dyDescent="0.2">
      <c r="A298" s="71"/>
      <c r="B298" s="71"/>
      <c r="C298" s="71"/>
      <c r="D298" s="71"/>
      <c r="E298" s="71"/>
      <c r="F298" s="71"/>
      <c r="G298" s="71"/>
      <c r="H298" s="71"/>
      <c r="I298" s="71"/>
    </row>
    <row r="299" spans="1:9" x14ac:dyDescent="0.2">
      <c r="A299" s="71"/>
      <c r="B299" s="71"/>
      <c r="C299" s="71"/>
      <c r="D299" s="71"/>
      <c r="E299" s="71"/>
      <c r="F299" s="71"/>
      <c r="G299" s="71"/>
      <c r="H299" s="71"/>
      <c r="I299" s="71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N31" sqref="N31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</cols>
  <sheetData>
    <row r="1" spans="1:50" ht="19.5" customHeight="1" x14ac:dyDescent="0.2">
      <c r="A1" s="336" t="s">
        <v>107</v>
      </c>
      <c r="B1" s="336"/>
      <c r="C1" s="336"/>
      <c r="D1" s="336"/>
      <c r="E1" s="336"/>
      <c r="F1" s="336"/>
      <c r="G1" s="336"/>
      <c r="H1" s="362"/>
      <c r="I1" s="362"/>
      <c r="J1" s="362"/>
      <c r="K1" s="31"/>
      <c r="L1" s="31"/>
      <c r="M1" s="31"/>
      <c r="N1" s="31"/>
      <c r="O1" s="31"/>
      <c r="P1" s="31"/>
      <c r="Q1" s="31"/>
      <c r="R1" s="72"/>
      <c r="S1" s="72"/>
      <c r="T1" s="72"/>
      <c r="U1" s="73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31"/>
      <c r="H2" s="363"/>
      <c r="I2" s="363"/>
      <c r="J2" s="363"/>
      <c r="K2" s="31"/>
      <c r="L2" s="31"/>
      <c r="M2" s="31"/>
      <c r="N2" s="31"/>
      <c r="O2" s="31"/>
      <c r="P2" s="31"/>
      <c r="Q2" s="31"/>
      <c r="R2" s="364" t="s">
        <v>165</v>
      </c>
      <c r="S2" s="364"/>
      <c r="T2" s="364"/>
      <c r="U2" s="364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37" t="s">
        <v>4</v>
      </c>
      <c r="B3" s="339" t="s">
        <v>108</v>
      </c>
      <c r="C3" s="341" t="s">
        <v>109</v>
      </c>
      <c r="D3" s="343" t="s">
        <v>110</v>
      </c>
      <c r="E3" s="341" t="s">
        <v>111</v>
      </c>
      <c r="F3" s="341"/>
      <c r="G3" s="345"/>
      <c r="H3" s="326" t="s">
        <v>109</v>
      </c>
      <c r="I3" s="328" t="s">
        <v>112</v>
      </c>
      <c r="J3" s="329"/>
      <c r="K3" s="330"/>
      <c r="L3" s="328" t="s">
        <v>62</v>
      </c>
      <c r="M3" s="329"/>
      <c r="N3" s="330"/>
      <c r="O3" s="328" t="s">
        <v>113</v>
      </c>
      <c r="P3" s="329"/>
      <c r="Q3" s="330"/>
      <c r="R3" s="331" t="s">
        <v>114</v>
      </c>
      <c r="S3" s="332"/>
      <c r="T3" s="332"/>
      <c r="U3" s="333"/>
      <c r="V3" s="360" t="s">
        <v>115</v>
      </c>
      <c r="W3" s="361"/>
      <c r="X3" s="361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1:50" ht="15" x14ac:dyDescent="0.2">
      <c r="A4" s="338"/>
      <c r="B4" s="340"/>
      <c r="C4" s="342"/>
      <c r="D4" s="344"/>
      <c r="E4" s="75" t="s">
        <v>116</v>
      </c>
      <c r="F4" s="75" t="s">
        <v>54</v>
      </c>
      <c r="G4" s="76" t="s">
        <v>117</v>
      </c>
      <c r="H4" s="327"/>
      <c r="I4" s="77" t="s">
        <v>116</v>
      </c>
      <c r="J4" s="75" t="s">
        <v>54</v>
      </c>
      <c r="K4" s="76" t="s">
        <v>117</v>
      </c>
      <c r="L4" s="77" t="s">
        <v>116</v>
      </c>
      <c r="M4" s="75" t="s">
        <v>54</v>
      </c>
      <c r="N4" s="76" t="s">
        <v>117</v>
      </c>
      <c r="O4" s="77" t="s">
        <v>116</v>
      </c>
      <c r="P4" s="75" t="s">
        <v>54</v>
      </c>
      <c r="Q4" s="76" t="s">
        <v>117</v>
      </c>
      <c r="R4" s="77" t="s">
        <v>116</v>
      </c>
      <c r="S4" s="75" t="s">
        <v>54</v>
      </c>
      <c r="T4" s="78" t="s">
        <v>117</v>
      </c>
      <c r="U4" s="79" t="s">
        <v>118</v>
      </c>
      <c r="V4" s="80" t="s">
        <v>116</v>
      </c>
      <c r="W4" s="81" t="s">
        <v>54</v>
      </c>
      <c r="X4" s="81" t="s">
        <v>117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</row>
    <row r="5" spans="1:50" ht="14.25" customHeight="1" x14ac:dyDescent="0.2">
      <c r="A5" s="82">
        <v>1</v>
      </c>
      <c r="B5" s="77">
        <v>2</v>
      </c>
      <c r="C5" s="75">
        <v>3</v>
      </c>
      <c r="D5" s="83">
        <v>4</v>
      </c>
      <c r="E5" s="75">
        <v>5</v>
      </c>
      <c r="F5" s="75">
        <v>6</v>
      </c>
      <c r="G5" s="76">
        <v>7</v>
      </c>
      <c r="H5" s="84">
        <v>8</v>
      </c>
      <c r="I5" s="77">
        <v>9</v>
      </c>
      <c r="J5" s="75">
        <v>10</v>
      </c>
      <c r="K5" s="76">
        <v>11</v>
      </c>
      <c r="L5" s="77">
        <v>12</v>
      </c>
      <c r="M5" s="75">
        <v>13</v>
      </c>
      <c r="N5" s="76">
        <v>14</v>
      </c>
      <c r="O5" s="77">
        <v>15</v>
      </c>
      <c r="P5" s="75">
        <v>16</v>
      </c>
      <c r="Q5" s="76">
        <v>17</v>
      </c>
      <c r="R5" s="77">
        <v>18</v>
      </c>
      <c r="S5" s="75">
        <v>19</v>
      </c>
      <c r="T5" s="78">
        <v>20</v>
      </c>
      <c r="U5" s="79">
        <v>21</v>
      </c>
      <c r="V5" s="85"/>
      <c r="W5" s="85"/>
      <c r="X5" s="85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1:50" ht="33" customHeight="1" x14ac:dyDescent="0.2">
      <c r="A6" s="86"/>
      <c r="B6" s="87" t="s">
        <v>11</v>
      </c>
      <c r="C6" s="75"/>
      <c r="D6" s="83"/>
      <c r="E6" s="88"/>
      <c r="F6" s="88"/>
      <c r="G6" s="89"/>
      <c r="H6" s="90"/>
      <c r="I6" s="91"/>
      <c r="J6" s="92"/>
      <c r="K6" s="93"/>
      <c r="L6" s="91"/>
      <c r="M6" s="92"/>
      <c r="N6" s="93"/>
      <c r="O6" s="91"/>
      <c r="P6" s="92"/>
      <c r="Q6" s="93"/>
      <c r="R6" s="94">
        <f>SUM(R7:R15)</f>
        <v>27924</v>
      </c>
      <c r="S6" s="95">
        <f>SUM(S7:S15)</f>
        <v>45412.234179999999</v>
      </c>
      <c r="T6" s="96">
        <f>SUM(T7:T15)</f>
        <v>6509</v>
      </c>
      <c r="U6" s="93">
        <f>SUM(R6:T6)</f>
        <v>79845.234179999999</v>
      </c>
      <c r="V6" s="85"/>
      <c r="W6" s="85"/>
      <c r="X6" s="85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</row>
    <row r="7" spans="1:50" ht="25.5" customHeight="1" x14ac:dyDescent="0.2">
      <c r="A7" s="97">
        <v>1</v>
      </c>
      <c r="B7" s="98" t="s">
        <v>13</v>
      </c>
      <c r="C7" s="99" t="s">
        <v>70</v>
      </c>
      <c r="D7" s="43" t="s">
        <v>119</v>
      </c>
      <c r="E7" s="100">
        <f>R7/I7</f>
        <v>110.14456421826689</v>
      </c>
      <c r="F7" s="101">
        <f>S7/J7</f>
        <v>122.66766349126765</v>
      </c>
      <c r="G7" s="102">
        <f>T7/K7</f>
        <v>35.572825269491098</v>
      </c>
      <c r="H7" s="103" t="s">
        <v>120</v>
      </c>
      <c r="I7" s="104">
        <v>119.67</v>
      </c>
      <c r="J7" s="105">
        <v>119.67</v>
      </c>
      <c r="K7" s="106">
        <v>119.67</v>
      </c>
      <c r="L7" s="91"/>
      <c r="M7" s="92"/>
      <c r="N7" s="93"/>
      <c r="O7" s="107"/>
      <c r="P7" s="108"/>
      <c r="Q7" s="106"/>
      <c r="R7" s="109">
        <v>13181</v>
      </c>
      <c r="S7" s="110">
        <f>11740+1207.79262+631.94667+1099.9</f>
        <v>14679.639289999999</v>
      </c>
      <c r="T7" s="111">
        <v>4257</v>
      </c>
      <c r="U7" s="93">
        <f t="shared" ref="U7:U34" si="0">SUM(R7:T7)</f>
        <v>32117.639289999999</v>
      </c>
      <c r="V7" s="85"/>
      <c r="W7" s="85"/>
      <c r="X7" s="85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</row>
    <row r="8" spans="1:50" ht="24.75" customHeight="1" x14ac:dyDescent="0.2">
      <c r="A8" s="97"/>
      <c r="B8" s="98"/>
      <c r="C8" s="99" t="s">
        <v>121</v>
      </c>
      <c r="D8" s="43" t="s">
        <v>73</v>
      </c>
      <c r="E8" s="100">
        <f>O8/V8</f>
        <v>0.10805970149253731</v>
      </c>
      <c r="F8" s="101">
        <f>P8/W8</f>
        <v>0.10678466076696166</v>
      </c>
      <c r="G8" s="102">
        <f>Q8/X8</f>
        <v>0.10523255813953489</v>
      </c>
      <c r="H8" s="103" t="s">
        <v>120</v>
      </c>
      <c r="I8" s="112"/>
      <c r="J8" s="113"/>
      <c r="K8" s="93"/>
      <c r="L8" s="91"/>
      <c r="M8" s="92"/>
      <c r="N8" s="93"/>
      <c r="O8" s="114">
        <v>3.62</v>
      </c>
      <c r="P8" s="115">
        <v>3.62</v>
      </c>
      <c r="Q8" s="116">
        <v>3.62</v>
      </c>
      <c r="R8" s="109"/>
      <c r="S8" s="110"/>
      <c r="T8" s="111"/>
      <c r="U8" s="93">
        <f t="shared" si="0"/>
        <v>0</v>
      </c>
      <c r="V8" s="85">
        <v>33.5</v>
      </c>
      <c r="W8" s="85">
        <v>33.9</v>
      </c>
      <c r="X8" s="85">
        <v>34.4</v>
      </c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</row>
    <row r="9" spans="1:50" ht="27" customHeight="1" x14ac:dyDescent="0.2">
      <c r="A9" s="97"/>
      <c r="B9" s="98"/>
      <c r="C9" s="99" t="s">
        <v>74</v>
      </c>
      <c r="D9" s="43" t="s">
        <v>75</v>
      </c>
      <c r="E9" s="100">
        <f>I9/V9</f>
        <v>3.5722388059701493</v>
      </c>
      <c r="F9" s="101">
        <f>J9/W9</f>
        <v>3.5300884955752214</v>
      </c>
      <c r="G9" s="102">
        <f>K9/X9</f>
        <v>3.4787790697674419</v>
      </c>
      <c r="H9" s="103" t="s">
        <v>122</v>
      </c>
      <c r="I9" s="104">
        <v>119.67</v>
      </c>
      <c r="J9" s="105">
        <v>119.67</v>
      </c>
      <c r="K9" s="106">
        <v>119.67</v>
      </c>
      <c r="L9" s="91"/>
      <c r="M9" s="92"/>
      <c r="N9" s="93"/>
      <c r="O9" s="91"/>
      <c r="P9" s="92"/>
      <c r="Q9" s="93"/>
      <c r="R9" s="109"/>
      <c r="S9" s="110"/>
      <c r="T9" s="111"/>
      <c r="U9" s="93">
        <f t="shared" si="0"/>
        <v>0</v>
      </c>
      <c r="V9" s="85">
        <v>33.5</v>
      </c>
      <c r="W9" s="85">
        <v>33.9</v>
      </c>
      <c r="X9" s="85">
        <v>34.4</v>
      </c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1:50" ht="25.5" customHeight="1" x14ac:dyDescent="0.2">
      <c r="A10" s="97">
        <v>2</v>
      </c>
      <c r="B10" s="98" t="s">
        <v>14</v>
      </c>
      <c r="C10" s="37" t="s">
        <v>76</v>
      </c>
      <c r="D10" s="43" t="s">
        <v>77</v>
      </c>
      <c r="E10" s="100">
        <f>L10/V10</f>
        <v>7.215283582089552</v>
      </c>
      <c r="F10" s="101">
        <f>M10/W10</f>
        <v>7.5254277286135691</v>
      </c>
      <c r="G10" s="102">
        <f>N10/X10</f>
        <v>7.4160465116279068</v>
      </c>
      <c r="H10" s="117" t="s">
        <v>123</v>
      </c>
      <c r="I10" s="118"/>
      <c r="J10" s="119"/>
      <c r="K10" s="120"/>
      <c r="L10" s="121">
        <v>241712</v>
      </c>
      <c r="M10" s="57">
        <f>241712+13400</f>
        <v>255112</v>
      </c>
      <c r="N10" s="122">
        <v>255112</v>
      </c>
      <c r="O10" s="91"/>
      <c r="P10" s="92"/>
      <c r="Q10" s="93"/>
      <c r="R10" s="109"/>
      <c r="S10" s="110">
        <f>14842.2-133.62815</f>
        <v>14708.57185</v>
      </c>
      <c r="T10" s="111">
        <v>0</v>
      </c>
      <c r="U10" s="93">
        <f t="shared" si="0"/>
        <v>14708.57185</v>
      </c>
      <c r="V10" s="123">
        <v>33500</v>
      </c>
      <c r="W10" s="123">
        <v>33900</v>
      </c>
      <c r="X10" s="123">
        <v>34400</v>
      </c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</row>
    <row r="11" spans="1:50" ht="25.5" customHeight="1" x14ac:dyDescent="0.2">
      <c r="A11" s="97"/>
      <c r="B11" s="98"/>
      <c r="C11" s="37" t="s">
        <v>124</v>
      </c>
      <c r="D11" s="43" t="s">
        <v>73</v>
      </c>
      <c r="E11" s="100">
        <f>O11/V11</f>
        <v>5.5820895522388057</v>
      </c>
      <c r="F11" s="101">
        <f>P11/W11</f>
        <v>5.6047197640117998</v>
      </c>
      <c r="G11" s="102">
        <f>Q11/X11</f>
        <v>5.661046511627907</v>
      </c>
      <c r="H11" s="117" t="s">
        <v>125</v>
      </c>
      <c r="I11" s="91"/>
      <c r="J11" s="92"/>
      <c r="K11" s="93"/>
      <c r="L11" s="112"/>
      <c r="M11" s="124"/>
      <c r="N11" s="93"/>
      <c r="O11" s="121">
        <v>187000</v>
      </c>
      <c r="P11" s="54">
        <v>190000</v>
      </c>
      <c r="Q11" s="122">
        <v>194740</v>
      </c>
      <c r="R11" s="109"/>
      <c r="S11" s="110"/>
      <c r="T11" s="111"/>
      <c r="U11" s="93">
        <f t="shared" si="0"/>
        <v>0</v>
      </c>
      <c r="V11" s="123">
        <v>33500</v>
      </c>
      <c r="W11" s="123">
        <v>33900</v>
      </c>
      <c r="X11" s="123">
        <v>34400</v>
      </c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</row>
    <row r="12" spans="1:50" ht="20.25" customHeight="1" x14ac:dyDescent="0.2">
      <c r="A12" s="97">
        <v>3</v>
      </c>
      <c r="B12" s="98" t="s">
        <v>15</v>
      </c>
      <c r="C12" s="125" t="s">
        <v>79</v>
      </c>
      <c r="D12" s="43" t="s">
        <v>80</v>
      </c>
      <c r="E12" s="100">
        <f>L12/V12</f>
        <v>0.28802985074626863</v>
      </c>
      <c r="F12" s="101">
        <f>M12/W12</f>
        <v>0</v>
      </c>
      <c r="G12" s="102">
        <f>N12/X12</f>
        <v>0.28049418604651161</v>
      </c>
      <c r="H12" s="126" t="s">
        <v>123</v>
      </c>
      <c r="I12" s="118"/>
      <c r="J12" s="119"/>
      <c r="K12" s="120"/>
      <c r="L12" s="121">
        <v>9649</v>
      </c>
      <c r="M12" s="127">
        <v>0</v>
      </c>
      <c r="N12" s="128">
        <v>9649</v>
      </c>
      <c r="O12" s="112"/>
      <c r="P12" s="92"/>
      <c r="Q12" s="93"/>
      <c r="R12" s="109"/>
      <c r="S12" s="110"/>
      <c r="T12" s="111">
        <v>0</v>
      </c>
      <c r="U12" s="93">
        <f t="shared" si="0"/>
        <v>0</v>
      </c>
      <c r="V12" s="123">
        <v>33500</v>
      </c>
      <c r="W12" s="123">
        <v>33900</v>
      </c>
      <c r="X12" s="123">
        <v>34400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</row>
    <row r="13" spans="1:50" ht="18" customHeight="1" x14ac:dyDescent="0.2">
      <c r="A13" s="97"/>
      <c r="B13" s="98"/>
      <c r="C13" s="125" t="s">
        <v>124</v>
      </c>
      <c r="D13" s="43" t="s">
        <v>73</v>
      </c>
      <c r="E13" s="100">
        <f>O13/V13</f>
        <v>0.62686567164179108</v>
      </c>
      <c r="F13" s="101">
        <f>P13/W13</f>
        <v>0</v>
      </c>
      <c r="G13" s="102">
        <f>Q13/X13</f>
        <v>0.63953488372093026</v>
      </c>
      <c r="H13" s="126" t="s">
        <v>125</v>
      </c>
      <c r="I13" s="91"/>
      <c r="J13" s="92"/>
      <c r="K13" s="93"/>
      <c r="L13" s="112"/>
      <c r="M13" s="124"/>
      <c r="N13" s="93"/>
      <c r="O13" s="121">
        <v>21000</v>
      </c>
      <c r="P13" s="129">
        <v>0</v>
      </c>
      <c r="Q13" s="128">
        <v>22000</v>
      </c>
      <c r="R13" s="109"/>
      <c r="S13" s="110"/>
      <c r="T13" s="111"/>
      <c r="U13" s="93">
        <f t="shared" si="0"/>
        <v>0</v>
      </c>
      <c r="V13" s="123">
        <v>33500</v>
      </c>
      <c r="W13" s="123">
        <v>33900</v>
      </c>
      <c r="X13" s="123">
        <v>34400</v>
      </c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</row>
    <row r="14" spans="1:50" ht="22.5" customHeight="1" x14ac:dyDescent="0.2">
      <c r="A14" s="97">
        <v>4</v>
      </c>
      <c r="B14" s="98" t="s">
        <v>16</v>
      </c>
      <c r="C14" s="37" t="s">
        <v>82</v>
      </c>
      <c r="D14" s="43" t="s">
        <v>83</v>
      </c>
      <c r="E14" s="100">
        <f>R14*1000/L14</f>
        <v>8.0983606557377055</v>
      </c>
      <c r="F14" s="130">
        <f>S14*1000/M14</f>
        <v>7.0737704918032787</v>
      </c>
      <c r="G14" s="102">
        <f>T14*1000/N14</f>
        <v>0.4344262295081967</v>
      </c>
      <c r="H14" s="117" t="s">
        <v>126</v>
      </c>
      <c r="I14" s="118"/>
      <c r="J14" s="119"/>
      <c r="K14" s="120"/>
      <c r="L14" s="121">
        <v>122000</v>
      </c>
      <c r="M14" s="57">
        <v>122000</v>
      </c>
      <c r="N14" s="122">
        <v>122000</v>
      </c>
      <c r="O14" s="91"/>
      <c r="P14" s="92"/>
      <c r="Q14" s="93"/>
      <c r="R14" s="109">
        <v>988</v>
      </c>
      <c r="S14" s="131">
        <v>863</v>
      </c>
      <c r="T14" s="111">
        <v>53</v>
      </c>
      <c r="U14" s="93">
        <f t="shared" si="0"/>
        <v>1904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</row>
    <row r="15" spans="1:50" ht="25.5" customHeight="1" x14ac:dyDescent="0.2">
      <c r="A15" s="97">
        <v>5</v>
      </c>
      <c r="B15" s="98" t="s">
        <v>17</v>
      </c>
      <c r="C15" s="37"/>
      <c r="D15" s="43"/>
      <c r="E15" s="132"/>
      <c r="F15" s="133"/>
      <c r="G15" s="134"/>
      <c r="H15" s="117"/>
      <c r="I15" s="91"/>
      <c r="J15" s="92"/>
      <c r="K15" s="93"/>
      <c r="L15" s="91"/>
      <c r="M15" s="124"/>
      <c r="N15" s="93"/>
      <c r="O15" s="91"/>
      <c r="P15" s="92"/>
      <c r="Q15" s="93"/>
      <c r="R15" s="135">
        <f>SUM(R16:R27)</f>
        <v>13755</v>
      </c>
      <c r="S15" s="136">
        <f>SUM(S16:S29)</f>
        <v>15161.02304</v>
      </c>
      <c r="T15" s="111">
        <f>SUM(T16:T29)</f>
        <v>2199</v>
      </c>
      <c r="U15" s="93">
        <f t="shared" si="0"/>
        <v>31115.02304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</row>
    <row r="16" spans="1:50" ht="25.5" customHeight="1" x14ac:dyDescent="0.2">
      <c r="A16" s="137" t="s">
        <v>127</v>
      </c>
      <c r="B16" s="98" t="s">
        <v>19</v>
      </c>
      <c r="C16" s="37" t="s">
        <v>84</v>
      </c>
      <c r="D16" s="43" t="s">
        <v>83</v>
      </c>
      <c r="E16" s="138">
        <f>R16*1000/L16</f>
        <v>146.10389610389609</v>
      </c>
      <c r="F16" s="139">
        <f t="shared" ref="F16:G19" si="1">S16*1000/M16</f>
        <v>146.10389610389609</v>
      </c>
      <c r="G16" s="140">
        <f t="shared" si="1"/>
        <v>14.772727272727273</v>
      </c>
      <c r="H16" s="117" t="s">
        <v>128</v>
      </c>
      <c r="I16" s="118"/>
      <c r="J16" s="119"/>
      <c r="K16" s="120"/>
      <c r="L16" s="121">
        <v>6160</v>
      </c>
      <c r="M16" s="57">
        <v>6160</v>
      </c>
      <c r="N16" s="122">
        <v>6160</v>
      </c>
      <c r="O16" s="91"/>
      <c r="P16" s="92"/>
      <c r="Q16" s="93"/>
      <c r="R16" s="141">
        <v>900</v>
      </c>
      <c r="S16" s="142">
        <v>900</v>
      </c>
      <c r="T16" s="143">
        <v>91</v>
      </c>
      <c r="U16" s="93">
        <f t="shared" si="0"/>
        <v>1891</v>
      </c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</row>
    <row r="17" spans="1:50" ht="25.5" customHeight="1" x14ac:dyDescent="0.2">
      <c r="A17" s="137" t="s">
        <v>129</v>
      </c>
      <c r="B17" s="98" t="s">
        <v>21</v>
      </c>
      <c r="C17" s="37" t="s">
        <v>85</v>
      </c>
      <c r="D17" s="43" t="s">
        <v>83</v>
      </c>
      <c r="E17" s="138">
        <f>R17*1000/L17</f>
        <v>925.92592592592598</v>
      </c>
      <c r="F17" s="139">
        <f t="shared" si="1"/>
        <v>883.59788359788365</v>
      </c>
      <c r="G17" s="140">
        <f t="shared" si="1"/>
        <v>87.301587301587304</v>
      </c>
      <c r="H17" s="117" t="s">
        <v>130</v>
      </c>
      <c r="I17" s="118"/>
      <c r="J17" s="119"/>
      <c r="K17" s="120"/>
      <c r="L17" s="121">
        <v>378</v>
      </c>
      <c r="M17" s="57">
        <v>378</v>
      </c>
      <c r="N17" s="122">
        <v>378</v>
      </c>
      <c r="O17" s="91"/>
      <c r="P17" s="92"/>
      <c r="Q17" s="93"/>
      <c r="R17" s="141">
        <v>350</v>
      </c>
      <c r="S17" s="142">
        <f>350-16</f>
        <v>334</v>
      </c>
      <c r="T17" s="143">
        <v>33</v>
      </c>
      <c r="U17" s="93">
        <f t="shared" si="0"/>
        <v>717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</row>
    <row r="18" spans="1:50" ht="25.5" customHeight="1" x14ac:dyDescent="0.2">
      <c r="A18" s="137" t="s">
        <v>131</v>
      </c>
      <c r="B18" s="98" t="s">
        <v>23</v>
      </c>
      <c r="C18" s="37" t="s">
        <v>132</v>
      </c>
      <c r="D18" s="43" t="s">
        <v>83</v>
      </c>
      <c r="E18" s="138">
        <f>R18*1000/L18</f>
        <v>168.1217819565704</v>
      </c>
      <c r="F18" s="139">
        <f t="shared" si="1"/>
        <v>181.80975194684146</v>
      </c>
      <c r="G18" s="140">
        <f t="shared" si="1"/>
        <v>19.362597714972942</v>
      </c>
      <c r="H18" s="117" t="s">
        <v>133</v>
      </c>
      <c r="I18" s="118"/>
      <c r="J18" s="119"/>
      <c r="K18" s="120"/>
      <c r="L18" s="121">
        <v>13401</v>
      </c>
      <c r="M18" s="57">
        <f>13234+3395.5</f>
        <v>16629.5</v>
      </c>
      <c r="N18" s="122">
        <v>16630</v>
      </c>
      <c r="O18" s="91"/>
      <c r="P18" s="92"/>
      <c r="Q18" s="93"/>
      <c r="R18" s="141">
        <v>2253</v>
      </c>
      <c r="S18" s="142">
        <f>3500-476.59473</f>
        <v>3023.4052700000002</v>
      </c>
      <c r="T18" s="143">
        <v>322</v>
      </c>
      <c r="U18" s="93">
        <f t="shared" si="0"/>
        <v>5598.4052700000002</v>
      </c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</row>
    <row r="19" spans="1:50" ht="36.75" customHeight="1" x14ac:dyDescent="0.2">
      <c r="A19" s="137" t="s">
        <v>134</v>
      </c>
      <c r="B19" s="98" t="s">
        <v>25</v>
      </c>
      <c r="C19" s="37" t="s">
        <v>87</v>
      </c>
      <c r="D19" s="43" t="s">
        <v>83</v>
      </c>
      <c r="E19" s="138">
        <f>R19*1000/L19</f>
        <v>69.444444444444443</v>
      </c>
      <c r="F19" s="139">
        <f t="shared" si="1"/>
        <v>67.814227083333336</v>
      </c>
      <c r="G19" s="140">
        <f t="shared" si="1"/>
        <v>7.5</v>
      </c>
      <c r="H19" s="117" t="s">
        <v>135</v>
      </c>
      <c r="I19" s="118"/>
      <c r="J19" s="119"/>
      <c r="K19" s="120"/>
      <c r="L19" s="144">
        <v>14400</v>
      </c>
      <c r="M19" s="57">
        <v>14400</v>
      </c>
      <c r="N19" s="122">
        <v>14400</v>
      </c>
      <c r="O19" s="91"/>
      <c r="P19" s="92"/>
      <c r="Q19" s="93"/>
      <c r="R19" s="141">
        <v>1000</v>
      </c>
      <c r="S19" s="142">
        <f>1000-23.47513</f>
        <v>976.52486999999996</v>
      </c>
      <c r="T19" s="143">
        <v>108</v>
      </c>
      <c r="U19" s="93">
        <f t="shared" si="0"/>
        <v>2084.5248700000002</v>
      </c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</row>
    <row r="20" spans="1:50" ht="27" customHeight="1" x14ac:dyDescent="0.2">
      <c r="A20" s="137" t="s">
        <v>136</v>
      </c>
      <c r="B20" s="98" t="s">
        <v>27</v>
      </c>
      <c r="C20" s="37" t="s">
        <v>88</v>
      </c>
      <c r="D20" s="43" t="s">
        <v>89</v>
      </c>
      <c r="E20" s="138">
        <f>R20*1000/O20</f>
        <v>2981.2206572769951</v>
      </c>
      <c r="F20" s="139">
        <f t="shared" ref="F20:G25" si="2">S20*1000/P20</f>
        <v>2858.2382781456954</v>
      </c>
      <c r="G20" s="140">
        <f t="shared" si="2"/>
        <v>2702.127659574468</v>
      </c>
      <c r="H20" s="117" t="s">
        <v>137</v>
      </c>
      <c r="I20" s="145"/>
      <c r="J20" s="146"/>
      <c r="K20" s="147"/>
      <c r="L20" s="145"/>
      <c r="M20" s="148"/>
      <c r="N20" s="147"/>
      <c r="O20" s="121">
        <v>639</v>
      </c>
      <c r="P20" s="57">
        <f>688+67</f>
        <v>755</v>
      </c>
      <c r="Q20" s="122">
        <v>141</v>
      </c>
      <c r="R20" s="141">
        <v>1905</v>
      </c>
      <c r="S20" s="142">
        <f>2000+183.139-25.1691</f>
        <v>2157.9699000000001</v>
      </c>
      <c r="T20" s="143">
        <v>381</v>
      </c>
      <c r="U20" s="93">
        <f t="shared" si="0"/>
        <v>4443.9699000000001</v>
      </c>
      <c r="V20" s="188" t="s">
        <v>166</v>
      </c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</row>
    <row r="21" spans="1:50" ht="25.5" x14ac:dyDescent="0.2">
      <c r="A21" s="137" t="s">
        <v>138</v>
      </c>
      <c r="B21" s="98" t="s">
        <v>139</v>
      </c>
      <c r="C21" s="37" t="s">
        <v>90</v>
      </c>
      <c r="D21" s="43" t="s">
        <v>91</v>
      </c>
      <c r="E21" s="138">
        <f>R21*1000/O21</f>
        <v>28301.886792452831</v>
      </c>
      <c r="F21" s="139">
        <f t="shared" si="2"/>
        <v>28094.362641509437</v>
      </c>
      <c r="G21" s="140">
        <f t="shared" si="2"/>
        <v>2014.7058823529412</v>
      </c>
      <c r="H21" s="117" t="s">
        <v>140</v>
      </c>
      <c r="I21" s="149"/>
      <c r="J21" s="150"/>
      <c r="K21" s="151"/>
      <c r="L21" s="149"/>
      <c r="M21" s="152"/>
      <c r="N21" s="151"/>
      <c r="O21" s="121">
        <v>53</v>
      </c>
      <c r="P21" s="57">
        <v>53</v>
      </c>
      <c r="Q21" s="122">
        <v>68</v>
      </c>
      <c r="R21" s="141">
        <v>1500</v>
      </c>
      <c r="S21" s="142">
        <f>1500-10.99878</f>
        <v>1489.0012200000001</v>
      </c>
      <c r="T21" s="143">
        <v>137</v>
      </c>
      <c r="U21" s="93">
        <f t="shared" si="0"/>
        <v>3126.0012200000001</v>
      </c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</row>
    <row r="22" spans="1:50" ht="25.5" customHeight="1" x14ac:dyDescent="0.2">
      <c r="A22" s="137" t="s">
        <v>141</v>
      </c>
      <c r="B22" s="98" t="s">
        <v>142</v>
      </c>
      <c r="C22" s="37" t="s">
        <v>92</v>
      </c>
      <c r="D22" s="43" t="s">
        <v>91</v>
      </c>
      <c r="E22" s="138">
        <f>R22*1000/O22</f>
        <v>16153.846153846154</v>
      </c>
      <c r="F22" s="139">
        <f t="shared" si="2"/>
        <v>18615.384615384617</v>
      </c>
      <c r="G22" s="140">
        <f t="shared" si="2"/>
        <v>2307.6923076923076</v>
      </c>
      <c r="H22" s="117" t="s">
        <v>143</v>
      </c>
      <c r="I22" s="145"/>
      <c r="J22" s="146"/>
      <c r="K22" s="147"/>
      <c r="L22" s="145"/>
      <c r="M22" s="148"/>
      <c r="N22" s="147"/>
      <c r="O22" s="121">
        <v>13</v>
      </c>
      <c r="P22" s="57">
        <v>13</v>
      </c>
      <c r="Q22" s="122">
        <v>13</v>
      </c>
      <c r="R22" s="141">
        <v>210</v>
      </c>
      <c r="S22" s="142">
        <v>242</v>
      </c>
      <c r="T22" s="143">
        <v>30</v>
      </c>
      <c r="U22" s="93">
        <f t="shared" si="0"/>
        <v>482</v>
      </c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</row>
    <row r="23" spans="1:50" ht="25.5" customHeight="1" x14ac:dyDescent="0.2">
      <c r="A23" s="137"/>
      <c r="B23" s="98" t="s">
        <v>144</v>
      </c>
      <c r="C23" s="37" t="s">
        <v>93</v>
      </c>
      <c r="D23" s="43" t="s">
        <v>91</v>
      </c>
      <c r="E23" s="138">
        <v>0</v>
      </c>
      <c r="F23" s="139">
        <f t="shared" si="2"/>
        <v>3539.0070921985816</v>
      </c>
      <c r="G23" s="140">
        <f t="shared" si="2"/>
        <v>436.17021276595744</v>
      </c>
      <c r="H23" s="117" t="s">
        <v>145</v>
      </c>
      <c r="I23" s="145"/>
      <c r="J23" s="146"/>
      <c r="K23" s="147"/>
      <c r="L23" s="145"/>
      <c r="M23" s="148"/>
      <c r="N23" s="147"/>
      <c r="O23" s="121"/>
      <c r="P23" s="57">
        <v>282</v>
      </c>
      <c r="Q23" s="122">
        <v>282</v>
      </c>
      <c r="R23" s="141">
        <v>0</v>
      </c>
      <c r="S23" s="142">
        <v>998</v>
      </c>
      <c r="T23" s="143">
        <v>123</v>
      </c>
      <c r="U23" s="93">
        <f t="shared" si="0"/>
        <v>1121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</row>
    <row r="24" spans="1:50" ht="25.5" x14ac:dyDescent="0.2">
      <c r="A24" s="137" t="s">
        <v>146</v>
      </c>
      <c r="B24" s="98" t="s">
        <v>33</v>
      </c>
      <c r="C24" s="37" t="s">
        <v>94</v>
      </c>
      <c r="D24" s="43" t="s">
        <v>91</v>
      </c>
      <c r="E24" s="138">
        <f>R24*1000/O24</f>
        <v>7600</v>
      </c>
      <c r="F24" s="153">
        <f>S24*1000/P24-0.25</f>
        <v>7560.9342105263158</v>
      </c>
      <c r="G24" s="140">
        <f t="shared" si="2"/>
        <v>164.47368421052633</v>
      </c>
      <c r="H24" s="90" t="s">
        <v>147</v>
      </c>
      <c r="I24" s="145"/>
      <c r="J24" s="146"/>
      <c r="K24" s="147"/>
      <c r="L24" s="145"/>
      <c r="M24" s="148"/>
      <c r="N24" s="147"/>
      <c r="O24" s="121">
        <v>150</v>
      </c>
      <c r="P24" s="57">
        <v>152</v>
      </c>
      <c r="Q24" s="122">
        <v>152</v>
      </c>
      <c r="R24" s="141">
        <v>1140</v>
      </c>
      <c r="S24" s="154">
        <v>1149.3</v>
      </c>
      <c r="T24" s="143">
        <v>25</v>
      </c>
      <c r="U24" s="93">
        <f t="shared" si="0"/>
        <v>2314.3000000000002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</row>
    <row r="25" spans="1:50" ht="28.5" customHeight="1" x14ac:dyDescent="0.2">
      <c r="A25" s="137" t="s">
        <v>148</v>
      </c>
      <c r="B25" s="98" t="s">
        <v>35</v>
      </c>
      <c r="C25" s="37" t="s">
        <v>95</v>
      </c>
      <c r="D25" s="43" t="s">
        <v>91</v>
      </c>
      <c r="E25" s="138">
        <f>R25*1000/O25</f>
        <v>10647.058823529413</v>
      </c>
      <c r="F25" s="139">
        <f t="shared" si="2"/>
        <v>10189.18918918919</v>
      </c>
      <c r="G25" s="140">
        <f t="shared" si="2"/>
        <v>1243.2432432432433</v>
      </c>
      <c r="H25" s="90" t="s">
        <v>149</v>
      </c>
      <c r="I25" s="118"/>
      <c r="J25" s="119"/>
      <c r="K25" s="120"/>
      <c r="L25" s="118"/>
      <c r="M25" s="57"/>
      <c r="N25" s="120"/>
      <c r="O25" s="121">
        <v>34</v>
      </c>
      <c r="P25" s="57">
        <v>37</v>
      </c>
      <c r="Q25" s="122">
        <v>37</v>
      </c>
      <c r="R25" s="141">
        <v>362</v>
      </c>
      <c r="S25" s="142">
        <f>387-10</f>
        <v>377</v>
      </c>
      <c r="T25" s="143">
        <v>46</v>
      </c>
      <c r="U25" s="93">
        <f t="shared" si="0"/>
        <v>785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</row>
    <row r="26" spans="1:50" ht="25.5" x14ac:dyDescent="0.2">
      <c r="A26" s="137" t="s">
        <v>150</v>
      </c>
      <c r="B26" s="98" t="s">
        <v>37</v>
      </c>
      <c r="C26" s="37" t="s">
        <v>151</v>
      </c>
      <c r="D26" s="43" t="s">
        <v>83</v>
      </c>
      <c r="E26" s="138">
        <f>R26*1000/L26</f>
        <v>685.69463548830811</v>
      </c>
      <c r="F26" s="139">
        <f>S26*1000/M26</f>
        <v>733.83768913342499</v>
      </c>
      <c r="G26" s="140">
        <f>T26*1000/N26</f>
        <v>81.155433287482808</v>
      </c>
      <c r="H26" s="117" t="s">
        <v>152</v>
      </c>
      <c r="I26" s="118"/>
      <c r="J26" s="119"/>
      <c r="K26" s="120"/>
      <c r="L26" s="121">
        <v>1454</v>
      </c>
      <c r="M26" s="57">
        <v>1454</v>
      </c>
      <c r="N26" s="122">
        <v>1454</v>
      </c>
      <c r="O26" s="91"/>
      <c r="P26" s="92"/>
      <c r="Q26" s="147"/>
      <c r="R26" s="141">
        <v>997</v>
      </c>
      <c r="S26" s="142">
        <v>1067</v>
      </c>
      <c r="T26" s="143">
        <v>118</v>
      </c>
      <c r="U26" s="93">
        <f t="shared" si="0"/>
        <v>2182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</row>
    <row r="27" spans="1:50" ht="18" customHeight="1" x14ac:dyDescent="0.2">
      <c r="A27" s="137" t="s">
        <v>153</v>
      </c>
      <c r="B27" s="155" t="s">
        <v>39</v>
      </c>
      <c r="C27" s="156"/>
      <c r="D27" s="43"/>
      <c r="E27" s="138"/>
      <c r="F27" s="139"/>
      <c r="G27" s="140"/>
      <c r="H27" s="157"/>
      <c r="I27" s="91"/>
      <c r="J27" s="92"/>
      <c r="K27" s="93"/>
      <c r="L27" s="91"/>
      <c r="M27" s="124"/>
      <c r="N27" s="93"/>
      <c r="O27" s="91"/>
      <c r="P27" s="92"/>
      <c r="Q27" s="147"/>
      <c r="R27" s="141">
        <v>3138</v>
      </c>
      <c r="S27" s="142">
        <f>3000-200.7-99.2-1418.04262-118.26645</f>
        <v>1163.7909300000003</v>
      </c>
      <c r="T27" s="143">
        <v>0</v>
      </c>
      <c r="U27" s="93">
        <f t="shared" si="0"/>
        <v>4301.7909300000001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</row>
    <row r="28" spans="1:50" ht="21.75" customHeight="1" x14ac:dyDescent="0.2">
      <c r="A28" s="137" t="s">
        <v>154</v>
      </c>
      <c r="B28" s="155" t="s">
        <v>155</v>
      </c>
      <c r="C28" s="156"/>
      <c r="D28" s="43"/>
      <c r="E28" s="138"/>
      <c r="F28" s="139"/>
      <c r="G28" s="140"/>
      <c r="H28" s="157"/>
      <c r="I28" s="91"/>
      <c r="J28" s="92"/>
      <c r="K28" s="93"/>
      <c r="L28" s="91"/>
      <c r="M28" s="124"/>
      <c r="N28" s="93"/>
      <c r="O28" s="91"/>
      <c r="P28" s="92"/>
      <c r="Q28" s="147"/>
      <c r="R28" s="158">
        <v>0</v>
      </c>
      <c r="S28" s="142">
        <f>1188.5+94.53085</f>
        <v>1283.0308500000001</v>
      </c>
      <c r="T28" s="143">
        <v>785</v>
      </c>
      <c r="U28" s="9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</row>
    <row r="29" spans="1:50" ht="24.75" customHeight="1" x14ac:dyDescent="0.2">
      <c r="A29" s="137" t="s">
        <v>156</v>
      </c>
      <c r="B29" s="155" t="s">
        <v>157</v>
      </c>
      <c r="C29" s="156"/>
      <c r="D29" s="43"/>
      <c r="E29" s="138"/>
      <c r="F29" s="138"/>
      <c r="G29" s="140"/>
      <c r="H29" s="157"/>
      <c r="I29" s="91"/>
      <c r="J29" s="92"/>
      <c r="K29" s="93"/>
      <c r="L29" s="91"/>
      <c r="M29" s="124"/>
      <c r="N29" s="93"/>
      <c r="O29" s="91"/>
      <c r="P29" s="92"/>
      <c r="Q29" s="147"/>
      <c r="R29" s="158">
        <v>0</v>
      </c>
      <c r="S29" s="142">
        <v>0</v>
      </c>
      <c r="T29" s="143">
        <v>0</v>
      </c>
      <c r="U29" s="93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</row>
    <row r="30" spans="1:50" ht="25.5" customHeight="1" x14ac:dyDescent="0.2">
      <c r="A30" s="159" t="s">
        <v>158</v>
      </c>
      <c r="B30" s="160" t="s">
        <v>42</v>
      </c>
      <c r="C30" s="37"/>
      <c r="D30" s="43"/>
      <c r="E30" s="161"/>
      <c r="F30" s="161"/>
      <c r="G30" s="162"/>
      <c r="H30" s="117"/>
      <c r="I30" s="91"/>
      <c r="J30" s="92"/>
      <c r="K30" s="93"/>
      <c r="L30" s="91"/>
      <c r="M30" s="124"/>
      <c r="N30" s="93"/>
      <c r="O30" s="91"/>
      <c r="P30" s="92"/>
      <c r="Q30" s="147"/>
      <c r="R30" s="94">
        <f>R32+R33</f>
        <v>54262</v>
      </c>
      <c r="S30" s="163">
        <f>54507.8</f>
        <v>54507.8</v>
      </c>
      <c r="T30" s="96">
        <v>8803</v>
      </c>
      <c r="U30" s="93">
        <f t="shared" si="0"/>
        <v>117572.8</v>
      </c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</row>
    <row r="31" spans="1:50" ht="26.25" customHeight="1" x14ac:dyDescent="0.2">
      <c r="A31" s="159"/>
      <c r="B31" s="160"/>
      <c r="C31" s="99" t="s">
        <v>159</v>
      </c>
      <c r="D31" s="43" t="s">
        <v>83</v>
      </c>
      <c r="E31" s="44">
        <f>R31*1000/L31</f>
        <v>50.203993141100185</v>
      </c>
      <c r="F31" s="164">
        <f>S31*1000/M31</f>
        <v>50.446249206693345</v>
      </c>
      <c r="G31" s="44">
        <f>T31*1000/N31</f>
        <v>8.0584035151958986</v>
      </c>
      <c r="H31" s="103" t="s">
        <v>160</v>
      </c>
      <c r="I31" s="165"/>
      <c r="J31" s="129"/>
      <c r="K31" s="166"/>
      <c r="L31" s="167">
        <v>1014740</v>
      </c>
      <c r="M31" s="57">
        <v>1014740</v>
      </c>
      <c r="N31" s="122">
        <v>1092400</v>
      </c>
      <c r="O31" s="145"/>
      <c r="P31" s="146"/>
      <c r="Q31" s="147"/>
      <c r="R31" s="168">
        <f>54262-3318</f>
        <v>50944</v>
      </c>
      <c r="S31" s="169">
        <f>54507.82692-S33</f>
        <v>51189.82692</v>
      </c>
      <c r="T31" s="170">
        <f>T30-T33</f>
        <v>8803</v>
      </c>
      <c r="U31" s="171">
        <f t="shared" si="0"/>
        <v>110936.82691999999</v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</row>
    <row r="32" spans="1:50" ht="25.5" customHeight="1" x14ac:dyDescent="0.2">
      <c r="A32" s="159"/>
      <c r="B32" s="160"/>
      <c r="C32" s="99" t="s">
        <v>161</v>
      </c>
      <c r="D32" s="43" t="s">
        <v>99</v>
      </c>
      <c r="E32" s="44">
        <f>R32/I32</f>
        <v>363.62598144182726</v>
      </c>
      <c r="F32" s="164">
        <f>S32/J32</f>
        <v>365.38063468950753</v>
      </c>
      <c r="G32" s="44">
        <f>T32/K32</f>
        <v>62.833690221270523</v>
      </c>
      <c r="H32" s="103" t="s">
        <v>162</v>
      </c>
      <c r="I32" s="114">
        <v>140.1</v>
      </c>
      <c r="J32" s="172">
        <v>140.1</v>
      </c>
      <c r="K32" s="173">
        <v>140.1</v>
      </c>
      <c r="L32" s="174"/>
      <c r="M32" s="124"/>
      <c r="N32" s="175"/>
      <c r="O32" s="145"/>
      <c r="P32" s="146"/>
      <c r="Q32" s="147"/>
      <c r="R32" s="168">
        <f>54262-3318</f>
        <v>50944</v>
      </c>
      <c r="S32" s="169">
        <f>54507.82692-S33</f>
        <v>51189.82692</v>
      </c>
      <c r="T32" s="170">
        <f>T30-T33</f>
        <v>8803</v>
      </c>
      <c r="U32" s="171">
        <f t="shared" si="0"/>
        <v>110936.82691999999</v>
      </c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</row>
    <row r="33" spans="1:50" ht="25.5" customHeight="1" x14ac:dyDescent="0.2">
      <c r="A33" s="159"/>
      <c r="B33" s="160"/>
      <c r="C33" s="99" t="s">
        <v>163</v>
      </c>
      <c r="D33" s="43" t="s">
        <v>83</v>
      </c>
      <c r="E33" s="44">
        <f>R33*1000/L33</f>
        <v>2234.3434343434342</v>
      </c>
      <c r="F33" s="164">
        <f>S33*1000/M33</f>
        <v>2390.4899135446685</v>
      </c>
      <c r="G33" s="44">
        <f>T33*1000/N33</f>
        <v>0</v>
      </c>
      <c r="H33" s="103" t="s">
        <v>164</v>
      </c>
      <c r="I33" s="165"/>
      <c r="J33" s="129"/>
      <c r="K33" s="166"/>
      <c r="L33" s="121">
        <v>1485</v>
      </c>
      <c r="M33" s="57">
        <v>1388</v>
      </c>
      <c r="N33" s="122">
        <v>1338</v>
      </c>
      <c r="O33" s="145"/>
      <c r="P33" s="146"/>
      <c r="Q33" s="147"/>
      <c r="R33" s="168">
        <v>3318</v>
      </c>
      <c r="S33" s="176">
        <v>3318</v>
      </c>
      <c r="T33" s="170">
        <v>0</v>
      </c>
      <c r="U33" s="171">
        <f t="shared" si="0"/>
        <v>6636</v>
      </c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</row>
    <row r="34" spans="1:50" ht="23.25" customHeight="1" thickBot="1" x14ac:dyDescent="0.25">
      <c r="A34" s="177"/>
      <c r="B34" s="178" t="s">
        <v>43</v>
      </c>
      <c r="C34" s="179"/>
      <c r="D34" s="180"/>
      <c r="E34" s="181"/>
      <c r="F34" s="181"/>
      <c r="G34" s="182"/>
      <c r="H34" s="183"/>
      <c r="I34" s="91"/>
      <c r="J34" s="92"/>
      <c r="K34" s="93"/>
      <c r="L34" s="91"/>
      <c r="M34" s="124"/>
      <c r="N34" s="93"/>
      <c r="O34" s="145"/>
      <c r="P34" s="146"/>
      <c r="Q34" s="147"/>
      <c r="R34" s="184">
        <f>R6+R30</f>
        <v>82186</v>
      </c>
      <c r="S34" s="185">
        <f>S6+S30</f>
        <v>99920.034180000002</v>
      </c>
      <c r="T34" s="186">
        <f>T6+T30</f>
        <v>15312</v>
      </c>
      <c r="U34" s="187">
        <f t="shared" si="0"/>
        <v>197418.03418000002</v>
      </c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4">
    <mergeCell ref="L3:N3"/>
    <mergeCell ref="O3:Q3"/>
    <mergeCell ref="R3:U3"/>
    <mergeCell ref="V3:X3"/>
    <mergeCell ref="A1:G1"/>
    <mergeCell ref="H1:J2"/>
    <mergeCell ref="R2:U2"/>
    <mergeCell ref="A3:A4"/>
    <mergeCell ref="B3:B4"/>
    <mergeCell ref="C3:C4"/>
    <mergeCell ref="D3:D4"/>
    <mergeCell ref="E3:G3"/>
    <mergeCell ref="H3:H4"/>
    <mergeCell ref="I3:K3"/>
  </mergeCells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прил.4. 2013 (1 кв)</vt:lpstr>
      <vt:lpstr>показатели 2013-2015</vt:lpstr>
      <vt:lpstr>прил.4. 2012 (4 кв)</vt:lpstr>
      <vt:lpstr>прил.5. 2012 (4 кв)</vt:lpstr>
      <vt:lpstr>показатели 1 кв. 2012</vt:lpstr>
      <vt:lpstr>'прил.5. 2012 (4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2013-04-05T04:54:27Z</cp:lastPrinted>
  <dcterms:created xsi:type="dcterms:W3CDTF">2012-04-18T11:17:26Z</dcterms:created>
  <dcterms:modified xsi:type="dcterms:W3CDTF">2013-04-05T08:59:57Z</dcterms:modified>
</cp:coreProperties>
</file>